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OFIA UNIVERSITY\Бюджети\2021\сайт 2021\Разпределение на бюджета на СУ за 2021 по звена съгласно чл. 90, ал. 2 от ЗВО\"/>
    </mc:Choice>
  </mc:AlternateContent>
  <bookViews>
    <workbookView xWindow="0" yWindow="0" windowWidth="38400" windowHeight="17430"/>
  </bookViews>
  <sheets>
    <sheet name="2021" sheetId="4" r:id="rId1"/>
    <sheet name="общи показатели 2021" sheetId="6" r:id="rId2"/>
    <sheet name="щат" sheetId="5" r:id="rId3"/>
  </sheets>
  <externalReferences>
    <externalReference r:id="rId4"/>
  </externalReferences>
  <definedNames>
    <definedName name="_xlnm._FilterDatabase" localSheetId="0" hidden="1">'2021'!$A$1:$BB$188</definedName>
    <definedName name="_xlnm._FilterDatabase" localSheetId="1" hidden="1">'общи показатели 2021'!$A$1:$Y$61</definedName>
    <definedName name="Date">[1]list!$B$713:$B$724</definedName>
    <definedName name="_xlnm.Print_Titles" localSheetId="0">'2021'!$A:$D,'2021'!$2:$2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4" l="1"/>
  <c r="G76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E62" i="4"/>
  <c r="AF62" i="4"/>
  <c r="AG62" i="4"/>
  <c r="AH62" i="4"/>
  <c r="AI62" i="4"/>
  <c r="AJ62" i="4"/>
  <c r="AK62" i="4"/>
  <c r="AL62" i="4"/>
  <c r="AP62" i="4"/>
  <c r="AQ62" i="4"/>
  <c r="AS62" i="4"/>
  <c r="AU62" i="4"/>
  <c r="AV62" i="4"/>
  <c r="AW62" i="4"/>
  <c r="AX62" i="4"/>
  <c r="AY62" i="4"/>
  <c r="AZ62" i="4"/>
  <c r="BA62" i="4"/>
  <c r="BB62" i="4"/>
  <c r="K24" i="6"/>
  <c r="S55" i="6"/>
  <c r="M55" i="6"/>
  <c r="J55" i="6"/>
  <c r="D55" i="6"/>
  <c r="J8" i="6"/>
  <c r="M8" i="6"/>
  <c r="C61" i="6"/>
  <c r="C58" i="6" s="1"/>
  <c r="S61" i="6"/>
  <c r="M61" i="6"/>
  <c r="J61" i="6"/>
  <c r="D61" i="6"/>
  <c r="S60" i="6"/>
  <c r="M60" i="6"/>
  <c r="J60" i="6"/>
  <c r="D60" i="6"/>
  <c r="S59" i="6"/>
  <c r="M59" i="6"/>
  <c r="J59" i="6"/>
  <c r="D59" i="6"/>
  <c r="U58" i="6"/>
  <c r="T58" i="6"/>
  <c r="R58" i="6"/>
  <c r="Q58" i="6"/>
  <c r="P58" i="6"/>
  <c r="O58" i="6"/>
  <c r="N58" i="6"/>
  <c r="L58" i="6"/>
  <c r="K58" i="6"/>
  <c r="I58" i="6"/>
  <c r="H58" i="6"/>
  <c r="G58" i="6"/>
  <c r="F58" i="6"/>
  <c r="E58" i="6"/>
  <c r="S57" i="6"/>
  <c r="M57" i="6"/>
  <c r="J57" i="6"/>
  <c r="D57" i="6"/>
  <c r="S56" i="6"/>
  <c r="M56" i="6"/>
  <c r="J56" i="6"/>
  <c r="D56" i="6"/>
  <c r="S54" i="6"/>
  <c r="M54" i="6"/>
  <c r="J54" i="6"/>
  <c r="D54" i="6"/>
  <c r="S53" i="6"/>
  <c r="M53" i="6"/>
  <c r="J53" i="6"/>
  <c r="D53" i="6"/>
  <c r="U52" i="6"/>
  <c r="T52" i="6"/>
  <c r="R52" i="6"/>
  <c r="Q52" i="6"/>
  <c r="P52" i="6"/>
  <c r="O52" i="6"/>
  <c r="N52" i="6"/>
  <c r="L52" i="6"/>
  <c r="K52" i="6"/>
  <c r="I52" i="6"/>
  <c r="H52" i="6"/>
  <c r="G52" i="6"/>
  <c r="F52" i="6"/>
  <c r="E52" i="6"/>
  <c r="C52" i="6"/>
  <c r="S51" i="6"/>
  <c r="M51" i="6"/>
  <c r="J51" i="6"/>
  <c r="D51" i="6"/>
  <c r="S50" i="6"/>
  <c r="M50" i="6"/>
  <c r="J50" i="6"/>
  <c r="D50" i="6"/>
  <c r="S49" i="6"/>
  <c r="M49" i="6"/>
  <c r="J49" i="6"/>
  <c r="D49" i="6"/>
  <c r="S48" i="6"/>
  <c r="M48" i="6"/>
  <c r="J48" i="6"/>
  <c r="D48" i="6"/>
  <c r="S47" i="6"/>
  <c r="M47" i="6"/>
  <c r="J47" i="6"/>
  <c r="D47" i="6"/>
  <c r="U46" i="6"/>
  <c r="T46" i="6"/>
  <c r="R46" i="6"/>
  <c r="Q46" i="6"/>
  <c r="P46" i="6"/>
  <c r="O46" i="6"/>
  <c r="N46" i="6"/>
  <c r="L46" i="6"/>
  <c r="K46" i="6"/>
  <c r="I46" i="6"/>
  <c r="H46" i="6"/>
  <c r="G46" i="6"/>
  <c r="F46" i="6"/>
  <c r="E46" i="6"/>
  <c r="C46" i="6"/>
  <c r="S45" i="6"/>
  <c r="M45" i="6"/>
  <c r="J45" i="6"/>
  <c r="D45" i="6"/>
  <c r="S44" i="6"/>
  <c r="M44" i="6"/>
  <c r="J44" i="6"/>
  <c r="D44" i="6"/>
  <c r="S43" i="6"/>
  <c r="M43" i="6"/>
  <c r="J43" i="6"/>
  <c r="D43" i="6"/>
  <c r="S42" i="6"/>
  <c r="M42" i="6"/>
  <c r="J42" i="6"/>
  <c r="D42" i="6"/>
  <c r="S41" i="6"/>
  <c r="M41" i="6"/>
  <c r="J41" i="6"/>
  <c r="D41" i="6"/>
  <c r="U40" i="6"/>
  <c r="T40" i="6"/>
  <c r="R40" i="6"/>
  <c r="Q40" i="6"/>
  <c r="P40" i="6"/>
  <c r="O40" i="6"/>
  <c r="N40" i="6"/>
  <c r="L40" i="6"/>
  <c r="K40" i="6"/>
  <c r="I40" i="6"/>
  <c r="H40" i="6"/>
  <c r="G40" i="6"/>
  <c r="F40" i="6"/>
  <c r="E40" i="6"/>
  <c r="C40" i="6"/>
  <c r="S39" i="6"/>
  <c r="M39" i="6"/>
  <c r="J39" i="6"/>
  <c r="D39" i="6"/>
  <c r="S38" i="6"/>
  <c r="M38" i="6"/>
  <c r="J38" i="6"/>
  <c r="D38" i="6"/>
  <c r="S37" i="6"/>
  <c r="M37" i="6"/>
  <c r="J37" i="6"/>
  <c r="D37" i="6"/>
  <c r="S36" i="6"/>
  <c r="M36" i="6"/>
  <c r="J36" i="6"/>
  <c r="D36" i="6"/>
  <c r="S35" i="6"/>
  <c r="M35" i="6"/>
  <c r="J35" i="6"/>
  <c r="D35" i="6"/>
  <c r="U34" i="6"/>
  <c r="T34" i="6"/>
  <c r="R34" i="6"/>
  <c r="Q34" i="6"/>
  <c r="P34" i="6"/>
  <c r="O34" i="6"/>
  <c r="N34" i="6"/>
  <c r="L34" i="6"/>
  <c r="K34" i="6"/>
  <c r="I34" i="6"/>
  <c r="H34" i="6"/>
  <c r="G34" i="6"/>
  <c r="F34" i="6"/>
  <c r="E34" i="6"/>
  <c r="C34" i="6"/>
  <c r="S33" i="6"/>
  <c r="M33" i="6"/>
  <c r="J33" i="6"/>
  <c r="D33" i="6"/>
  <c r="S32" i="6"/>
  <c r="M32" i="6"/>
  <c r="J32" i="6"/>
  <c r="D32" i="6"/>
  <c r="S31" i="6"/>
  <c r="M31" i="6"/>
  <c r="J31" i="6"/>
  <c r="D31" i="6"/>
  <c r="S30" i="6"/>
  <c r="M30" i="6"/>
  <c r="J30" i="6"/>
  <c r="D30" i="6"/>
  <c r="S29" i="6"/>
  <c r="M29" i="6"/>
  <c r="J29" i="6"/>
  <c r="D29" i="6"/>
  <c r="U28" i="6"/>
  <c r="T28" i="6"/>
  <c r="R28" i="6"/>
  <c r="Q28" i="6"/>
  <c r="P28" i="6"/>
  <c r="O28" i="6"/>
  <c r="N28" i="6"/>
  <c r="L28" i="6"/>
  <c r="K28" i="6"/>
  <c r="I28" i="6"/>
  <c r="H28" i="6"/>
  <c r="G28" i="6"/>
  <c r="F28" i="6"/>
  <c r="E28" i="6"/>
  <c r="C28" i="6"/>
  <c r="S27" i="6"/>
  <c r="M27" i="6"/>
  <c r="J27" i="6"/>
  <c r="D27" i="6"/>
  <c r="S26" i="6"/>
  <c r="M26" i="6"/>
  <c r="J26" i="6"/>
  <c r="D26" i="6"/>
  <c r="S25" i="6"/>
  <c r="M25" i="6"/>
  <c r="J25" i="6"/>
  <c r="D25" i="6"/>
  <c r="U24" i="6"/>
  <c r="T24" i="6"/>
  <c r="R24" i="6"/>
  <c r="Q24" i="6"/>
  <c r="P24" i="6"/>
  <c r="O24" i="6"/>
  <c r="N24" i="6"/>
  <c r="L24" i="6"/>
  <c r="I24" i="6"/>
  <c r="H24" i="6"/>
  <c r="G24" i="6"/>
  <c r="F24" i="6"/>
  <c r="E24" i="6"/>
  <c r="C24" i="6"/>
  <c r="S23" i="6"/>
  <c r="M23" i="6"/>
  <c r="J23" i="6"/>
  <c r="D23" i="6"/>
  <c r="S22" i="6"/>
  <c r="M22" i="6"/>
  <c r="J22" i="6"/>
  <c r="D22" i="6"/>
  <c r="S21" i="6"/>
  <c r="M21" i="6"/>
  <c r="J21" i="6"/>
  <c r="D21" i="6"/>
  <c r="S20" i="6"/>
  <c r="M20" i="6"/>
  <c r="J20" i="6"/>
  <c r="D20" i="6"/>
  <c r="S19" i="6"/>
  <c r="M19" i="6"/>
  <c r="J19" i="6"/>
  <c r="D19" i="6"/>
  <c r="S18" i="6"/>
  <c r="M18" i="6"/>
  <c r="J18" i="6"/>
  <c r="D18" i="6"/>
  <c r="S17" i="6"/>
  <c r="M17" i="6"/>
  <c r="J17" i="6"/>
  <c r="D17" i="6"/>
  <c r="S16" i="6"/>
  <c r="M16" i="6"/>
  <c r="J16" i="6"/>
  <c r="D16" i="6"/>
  <c r="S15" i="6"/>
  <c r="M15" i="6"/>
  <c r="J15" i="6"/>
  <c r="D15" i="6"/>
  <c r="S14" i="6"/>
  <c r="M14" i="6"/>
  <c r="J14" i="6"/>
  <c r="D14" i="6"/>
  <c r="S13" i="6"/>
  <c r="M13" i="6"/>
  <c r="J13" i="6"/>
  <c r="D13" i="6"/>
  <c r="S12" i="6"/>
  <c r="M12" i="6"/>
  <c r="J12" i="6"/>
  <c r="D12" i="6"/>
  <c r="S11" i="6"/>
  <c r="M11" i="6"/>
  <c r="J11" i="6"/>
  <c r="D11" i="6"/>
  <c r="S10" i="6"/>
  <c r="M10" i="6"/>
  <c r="J10" i="6"/>
  <c r="D10" i="6"/>
  <c r="S9" i="6"/>
  <c r="M9" i="6"/>
  <c r="J9" i="6"/>
  <c r="D9" i="6"/>
  <c r="S8" i="6"/>
  <c r="D8" i="6"/>
  <c r="U7" i="6"/>
  <c r="T7" i="6"/>
  <c r="R7" i="6"/>
  <c r="Q7" i="6"/>
  <c r="P7" i="6"/>
  <c r="O7" i="6"/>
  <c r="N7" i="6"/>
  <c r="L7" i="6"/>
  <c r="K7" i="6"/>
  <c r="I7" i="6"/>
  <c r="H7" i="6"/>
  <c r="G7" i="6"/>
  <c r="F7" i="6"/>
  <c r="E7" i="6"/>
  <c r="C7" i="6"/>
  <c r="M40" i="6" l="1"/>
  <c r="S58" i="6"/>
  <c r="W55" i="6"/>
  <c r="S24" i="6"/>
  <c r="M58" i="6"/>
  <c r="S46" i="6"/>
  <c r="J52" i="6"/>
  <c r="W60" i="6"/>
  <c r="V55" i="6"/>
  <c r="J46" i="6"/>
  <c r="M52" i="6"/>
  <c r="M24" i="6"/>
  <c r="J7" i="6"/>
  <c r="W8" i="6"/>
  <c r="W27" i="6"/>
  <c r="J40" i="6"/>
  <c r="M46" i="6"/>
  <c r="S52" i="6"/>
  <c r="W57" i="6"/>
  <c r="S40" i="6"/>
  <c r="J28" i="6"/>
  <c r="W14" i="6"/>
  <c r="W20" i="6"/>
  <c r="W42" i="6"/>
  <c r="W49" i="6"/>
  <c r="S34" i="6"/>
  <c r="J58" i="6"/>
  <c r="V31" i="6"/>
  <c r="C6" i="6"/>
  <c r="W43" i="6"/>
  <c r="D52" i="6"/>
  <c r="G6" i="6"/>
  <c r="U6" i="6"/>
  <c r="T6" i="6"/>
  <c r="W47" i="6"/>
  <c r="W50" i="6"/>
  <c r="W35" i="6"/>
  <c r="W36" i="6"/>
  <c r="W39" i="6"/>
  <c r="Q6" i="6"/>
  <c r="S28" i="6"/>
  <c r="W31" i="6"/>
  <c r="O6" i="6"/>
  <c r="N6" i="6"/>
  <c r="W25" i="6"/>
  <c r="R6" i="6"/>
  <c r="P6" i="6"/>
  <c r="V18" i="6"/>
  <c r="S7" i="6"/>
  <c r="W61" i="6"/>
  <c r="W48" i="6"/>
  <c r="W51" i="6"/>
  <c r="W38" i="6"/>
  <c r="M34" i="6"/>
  <c r="W37" i="6"/>
  <c r="W29" i="6"/>
  <c r="W26" i="6"/>
  <c r="K6" i="6"/>
  <c r="W22" i="6"/>
  <c r="W10" i="6"/>
  <c r="W16" i="6"/>
  <c r="L6" i="6"/>
  <c r="V20" i="6"/>
  <c r="W23" i="6"/>
  <c r="V8" i="6"/>
  <c r="W11" i="6"/>
  <c r="W17" i="6"/>
  <c r="W12" i="6"/>
  <c r="W18" i="6"/>
  <c r="V12" i="6"/>
  <c r="W9" i="6"/>
  <c r="W15" i="6"/>
  <c r="V21" i="6"/>
  <c r="D7" i="6"/>
  <c r="V14" i="6"/>
  <c r="V10" i="6"/>
  <c r="V16" i="6"/>
  <c r="V22" i="6"/>
  <c r="V13" i="6"/>
  <c r="W19" i="6"/>
  <c r="J24" i="6"/>
  <c r="V29" i="6"/>
  <c r="W32" i="6"/>
  <c r="W33" i="6"/>
  <c r="V33" i="6"/>
  <c r="W30" i="6"/>
  <c r="D28" i="6"/>
  <c r="F6" i="6"/>
  <c r="J34" i="6"/>
  <c r="V42" i="6"/>
  <c r="V44" i="6"/>
  <c r="D40" i="6"/>
  <c r="W45" i="6"/>
  <c r="W44" i="6"/>
  <c r="I6" i="6"/>
  <c r="W59" i="6"/>
  <c r="W56" i="6"/>
  <c r="H6" i="6"/>
  <c r="W54" i="6"/>
  <c r="W53" i="6"/>
  <c r="E6" i="6"/>
  <c r="V11" i="6"/>
  <c r="V41" i="6"/>
  <c r="V43" i="6"/>
  <c r="V45" i="6"/>
  <c r="V54" i="6"/>
  <c r="V56" i="6"/>
  <c r="V19" i="6"/>
  <c r="V32" i="6"/>
  <c r="W13" i="6"/>
  <c r="W21" i="6"/>
  <c r="W41" i="6"/>
  <c r="V23" i="6"/>
  <c r="V9" i="6"/>
  <c r="V15" i="6"/>
  <c r="V17" i="6"/>
  <c r="V30" i="6"/>
  <c r="M7" i="6"/>
  <c r="D24" i="6"/>
  <c r="V25" i="6"/>
  <c r="V27" i="6"/>
  <c r="M28" i="6"/>
  <c r="V36" i="6"/>
  <c r="V38" i="6"/>
  <c r="D46" i="6"/>
  <c r="V47" i="6"/>
  <c r="V49" i="6"/>
  <c r="V51" i="6"/>
  <c r="V60" i="6"/>
  <c r="V53" i="6"/>
  <c r="V57" i="6"/>
  <c r="V26" i="6"/>
  <c r="D34" i="6"/>
  <c r="V35" i="6"/>
  <c r="V37" i="6"/>
  <c r="V39" i="6"/>
  <c r="V48" i="6"/>
  <c r="V50" i="6"/>
  <c r="D58" i="6"/>
  <c r="V59" i="6"/>
  <c r="V61" i="6"/>
  <c r="J6" i="6" l="1"/>
  <c r="S6" i="6"/>
  <c r="W52" i="6"/>
  <c r="W46" i="6"/>
  <c r="W34" i="6"/>
  <c r="M6" i="6"/>
  <c r="W58" i="6"/>
  <c r="V28" i="6"/>
  <c r="W24" i="6"/>
  <c r="W40" i="6"/>
  <c r="W28" i="6"/>
  <c r="V40" i="6"/>
  <c r="W7" i="6"/>
  <c r="D6" i="6"/>
  <c r="V24" i="6"/>
  <c r="V7" i="6"/>
  <c r="V58" i="6"/>
  <c r="V46" i="6"/>
  <c r="V52" i="6"/>
  <c r="V34" i="6"/>
  <c r="W6" i="6" l="1"/>
  <c r="V6" i="6"/>
  <c r="E86" i="4" l="1"/>
  <c r="BB126" i="4"/>
  <c r="P57" i="5"/>
  <c r="K57" i="5"/>
  <c r="F57" i="5"/>
  <c r="C57" i="5"/>
  <c r="P56" i="5"/>
  <c r="K56" i="5"/>
  <c r="F56" i="5"/>
  <c r="C56" i="5"/>
  <c r="P55" i="5"/>
  <c r="K55" i="5"/>
  <c r="F55" i="5"/>
  <c r="P54" i="5"/>
  <c r="C54" i="5" s="1"/>
  <c r="K54" i="5"/>
  <c r="F54" i="5"/>
  <c r="P53" i="5"/>
  <c r="K53" i="5"/>
  <c r="K52" i="5" s="1"/>
  <c r="F53" i="5"/>
  <c r="S52" i="5"/>
  <c r="R52" i="5"/>
  <c r="Q52" i="5"/>
  <c r="O52" i="5"/>
  <c r="N52" i="5"/>
  <c r="M52" i="5"/>
  <c r="L52" i="5"/>
  <c r="J52" i="5"/>
  <c r="I52" i="5"/>
  <c r="H52" i="5"/>
  <c r="G52" i="5"/>
  <c r="E52" i="5"/>
  <c r="D52" i="5"/>
  <c r="P51" i="5"/>
  <c r="K51" i="5"/>
  <c r="F51" i="5"/>
  <c r="P50" i="5"/>
  <c r="C50" i="5" s="1"/>
  <c r="K50" i="5"/>
  <c r="F50" i="5"/>
  <c r="P49" i="5"/>
  <c r="K49" i="5"/>
  <c r="F49" i="5"/>
  <c r="C49" i="5"/>
  <c r="P48" i="5"/>
  <c r="K48" i="5"/>
  <c r="F48" i="5"/>
  <c r="F46" i="5" s="1"/>
  <c r="P47" i="5"/>
  <c r="P46" i="5" s="1"/>
  <c r="K47" i="5"/>
  <c r="C47" i="5" s="1"/>
  <c r="F47" i="5"/>
  <c r="S46" i="5"/>
  <c r="R46" i="5"/>
  <c r="Q46" i="5"/>
  <c r="O46" i="5"/>
  <c r="N46" i="5"/>
  <c r="M46" i="5"/>
  <c r="L46" i="5"/>
  <c r="J46" i="5"/>
  <c r="I46" i="5"/>
  <c r="H46" i="5"/>
  <c r="G46" i="5"/>
  <c r="E46" i="5"/>
  <c r="D46" i="5"/>
  <c r="P45" i="5"/>
  <c r="K45" i="5"/>
  <c r="F45" i="5"/>
  <c r="P44" i="5"/>
  <c r="K44" i="5"/>
  <c r="F44" i="5"/>
  <c r="P43" i="5"/>
  <c r="K43" i="5"/>
  <c r="C43" i="5" s="1"/>
  <c r="F43" i="5"/>
  <c r="P42" i="5"/>
  <c r="K42" i="5"/>
  <c r="F42" i="5"/>
  <c r="C42" i="5"/>
  <c r="P41" i="5"/>
  <c r="K41" i="5"/>
  <c r="F41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P39" i="5"/>
  <c r="K39" i="5"/>
  <c r="C39" i="5" s="1"/>
  <c r="P38" i="5"/>
  <c r="K38" i="5"/>
  <c r="K37" i="5" s="1"/>
  <c r="F38" i="5"/>
  <c r="C38" i="5"/>
  <c r="S37" i="5"/>
  <c r="R37" i="5"/>
  <c r="Q37" i="5"/>
  <c r="P37" i="5"/>
  <c r="O37" i="5"/>
  <c r="N37" i="5"/>
  <c r="M37" i="5"/>
  <c r="L37" i="5"/>
  <c r="J37" i="5"/>
  <c r="I37" i="5"/>
  <c r="H37" i="5"/>
  <c r="G37" i="5"/>
  <c r="F37" i="5"/>
  <c r="E37" i="5"/>
  <c r="D37" i="5"/>
  <c r="C37" i="5"/>
  <c r="P36" i="5"/>
  <c r="K36" i="5"/>
  <c r="F36" i="5"/>
  <c r="C36" i="5" s="1"/>
  <c r="P35" i="5"/>
  <c r="K35" i="5"/>
  <c r="F35" i="5"/>
  <c r="C35" i="5"/>
  <c r="P34" i="5"/>
  <c r="K34" i="5"/>
  <c r="C34" i="5" s="1"/>
  <c r="F34" i="5"/>
  <c r="P33" i="5"/>
  <c r="K33" i="5"/>
  <c r="F33" i="5"/>
  <c r="C33" i="5"/>
  <c r="P32" i="5"/>
  <c r="K32" i="5"/>
  <c r="F32" i="5"/>
  <c r="C32" i="5" s="1"/>
  <c r="P31" i="5"/>
  <c r="K31" i="5"/>
  <c r="F31" i="5"/>
  <c r="C31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P29" i="5"/>
  <c r="K29" i="5"/>
  <c r="F29" i="5"/>
  <c r="C29" i="5"/>
  <c r="P28" i="5"/>
  <c r="K28" i="5"/>
  <c r="F28" i="5"/>
  <c r="C28" i="5"/>
  <c r="P27" i="5"/>
  <c r="K27" i="5"/>
  <c r="F27" i="5"/>
  <c r="S26" i="5"/>
  <c r="R26" i="5"/>
  <c r="Q26" i="5"/>
  <c r="O26" i="5"/>
  <c r="N26" i="5"/>
  <c r="M26" i="5"/>
  <c r="L26" i="5"/>
  <c r="J26" i="5"/>
  <c r="I26" i="5"/>
  <c r="H26" i="5"/>
  <c r="G26" i="5"/>
  <c r="E26" i="5"/>
  <c r="D26" i="5"/>
  <c r="P25" i="5"/>
  <c r="K25" i="5"/>
  <c r="F25" i="5"/>
  <c r="C25" i="5" s="1"/>
  <c r="P24" i="5"/>
  <c r="C24" i="5" s="1"/>
  <c r="K24" i="5"/>
  <c r="F24" i="5"/>
  <c r="P23" i="5"/>
  <c r="K23" i="5"/>
  <c r="F23" i="5"/>
  <c r="P22" i="5"/>
  <c r="K22" i="5"/>
  <c r="F22" i="5"/>
  <c r="C22" i="5"/>
  <c r="P21" i="5"/>
  <c r="K21" i="5"/>
  <c r="C21" i="5" s="1"/>
  <c r="F21" i="5"/>
  <c r="P20" i="5"/>
  <c r="K20" i="5"/>
  <c r="F20" i="5"/>
  <c r="P19" i="5"/>
  <c r="K19" i="5"/>
  <c r="F19" i="5"/>
  <c r="C19" i="5"/>
  <c r="P18" i="5"/>
  <c r="K18" i="5"/>
  <c r="F18" i="5"/>
  <c r="C18" i="5" s="1"/>
  <c r="P17" i="5"/>
  <c r="K17" i="5"/>
  <c r="F17" i="5"/>
  <c r="C17" i="5"/>
  <c r="P16" i="5"/>
  <c r="K16" i="5"/>
  <c r="F16" i="5"/>
  <c r="P15" i="5"/>
  <c r="K15" i="5"/>
  <c r="F15" i="5"/>
  <c r="C15" i="5" s="1"/>
  <c r="P14" i="5"/>
  <c r="K14" i="5"/>
  <c r="C14" i="5" s="1"/>
  <c r="F14" i="5"/>
  <c r="P13" i="5"/>
  <c r="K13" i="5"/>
  <c r="J13" i="5"/>
  <c r="H13" i="5"/>
  <c r="P12" i="5"/>
  <c r="K12" i="5"/>
  <c r="F12" i="5"/>
  <c r="C12" i="5"/>
  <c r="P11" i="5"/>
  <c r="K11" i="5"/>
  <c r="F11" i="5"/>
  <c r="P10" i="5"/>
  <c r="K10" i="5"/>
  <c r="F10" i="5"/>
  <c r="C10" i="5"/>
  <c r="P9" i="5"/>
  <c r="K9" i="5"/>
  <c r="F9" i="5"/>
  <c r="P8" i="5"/>
  <c r="P7" i="5" s="1"/>
  <c r="K8" i="5"/>
  <c r="F8" i="5"/>
  <c r="C8" i="5"/>
  <c r="S7" i="5"/>
  <c r="R7" i="5"/>
  <c r="Q7" i="5"/>
  <c r="O7" i="5"/>
  <c r="N7" i="5"/>
  <c r="M7" i="5"/>
  <c r="L7" i="5"/>
  <c r="I7" i="5"/>
  <c r="I6" i="5" s="1"/>
  <c r="H7" i="5"/>
  <c r="H6" i="5" s="1"/>
  <c r="G7" i="5"/>
  <c r="E7" i="5"/>
  <c r="E6" i="5" s="1"/>
  <c r="D7" i="5"/>
  <c r="K46" i="5" l="1"/>
  <c r="C44" i="5"/>
  <c r="C48" i="5"/>
  <c r="C55" i="5"/>
  <c r="C41" i="5"/>
  <c r="P40" i="5"/>
  <c r="C53" i="5"/>
  <c r="C52" i="5" s="1"/>
  <c r="K40" i="5"/>
  <c r="P52" i="5"/>
  <c r="M6" i="5"/>
  <c r="C27" i="5"/>
  <c r="C26" i="5" s="1"/>
  <c r="C23" i="5"/>
  <c r="P26" i="5"/>
  <c r="K7" i="5"/>
  <c r="K6" i="5" s="1"/>
  <c r="N6" i="5"/>
  <c r="O6" i="5"/>
  <c r="F13" i="5"/>
  <c r="F7" i="5" s="1"/>
  <c r="F40" i="5"/>
  <c r="C20" i="5"/>
  <c r="Q6" i="5"/>
  <c r="F26" i="5"/>
  <c r="C30" i="5"/>
  <c r="S6" i="5"/>
  <c r="R6" i="5"/>
  <c r="L6" i="5"/>
  <c r="K26" i="5"/>
  <c r="K30" i="5"/>
  <c r="D6" i="5"/>
  <c r="C11" i="5"/>
  <c r="P30" i="5"/>
  <c r="P6" i="5" s="1"/>
  <c r="G6" i="5"/>
  <c r="C9" i="5"/>
  <c r="C51" i="5"/>
  <c r="C46" i="5" s="1"/>
  <c r="C16" i="5"/>
  <c r="F30" i="5"/>
  <c r="C45" i="5"/>
  <c r="C40" i="5" s="1"/>
  <c r="J7" i="5"/>
  <c r="J6" i="5" s="1"/>
  <c r="F52" i="5"/>
  <c r="C13" i="5" l="1"/>
  <c r="F6" i="5"/>
  <c r="C7" i="5"/>
  <c r="C6" i="5" s="1"/>
  <c r="S130" i="4" l="1"/>
  <c r="J130" i="4"/>
  <c r="N130" i="4"/>
  <c r="P130" i="4"/>
  <c r="AB69" i="4"/>
  <c r="AB62" i="4" s="1"/>
  <c r="AB90" i="4"/>
  <c r="I130" i="4"/>
  <c r="K130" i="4"/>
  <c r="O130" i="4"/>
  <c r="T130" i="4"/>
  <c r="U130" i="4"/>
  <c r="M25" i="4" l="1"/>
  <c r="AC69" i="4" l="1"/>
  <c r="AC62" i="4" s="1"/>
  <c r="AZ61" i="4" l="1"/>
  <c r="AW61" i="4"/>
  <c r="AV61" i="4"/>
  <c r="AU61" i="4"/>
  <c r="AM81" i="4"/>
  <c r="AX88" i="4"/>
  <c r="AI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H61" i="4"/>
  <c r="AM59" i="4"/>
  <c r="X61" i="4" l="1"/>
  <c r="Y61" i="4"/>
  <c r="Z61" i="4"/>
  <c r="AA61" i="4"/>
  <c r="AB61" i="4"/>
  <c r="AC61" i="4"/>
  <c r="AD61" i="4"/>
  <c r="AE61" i="4"/>
  <c r="AF61" i="4"/>
  <c r="AG61" i="4"/>
  <c r="AH61" i="4"/>
  <c r="AJ61" i="4"/>
  <c r="AK61" i="4"/>
  <c r="AL61" i="4"/>
  <c r="AN61" i="4"/>
  <c r="AO61" i="4"/>
  <c r="AP61" i="4"/>
  <c r="AQ61" i="4"/>
  <c r="AR61" i="4"/>
  <c r="AS61" i="4"/>
  <c r="AT61" i="4"/>
  <c r="AX61" i="4"/>
  <c r="AY61" i="4"/>
  <c r="BA61" i="4"/>
  <c r="BB61" i="4"/>
  <c r="AM69" i="4" l="1"/>
  <c r="AM62" i="4" s="1"/>
  <c r="BB116" i="4"/>
  <c r="AM33" i="4" l="1"/>
  <c r="AU29" i="4" l="1"/>
  <c r="AU88" i="4"/>
  <c r="AV60" i="4" l="1"/>
  <c r="AM55" i="4" l="1"/>
  <c r="AM61" i="4" s="1"/>
  <c r="AS133" i="4" l="1"/>
  <c r="L124" i="4" l="1"/>
  <c r="G123" i="4" l="1"/>
  <c r="G122" i="4"/>
  <c r="G120" i="4" s="1"/>
  <c r="F120" i="4" s="1"/>
  <c r="G121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24" i="4"/>
  <c r="F124" i="4" s="1"/>
  <c r="G119" i="4"/>
  <c r="G118" i="4"/>
  <c r="G117" i="4"/>
  <c r="G116" i="4" l="1"/>
  <c r="F116" i="4" s="1"/>
  <c r="G15" i="4" l="1"/>
  <c r="G11" i="4"/>
  <c r="AA68" i="4" l="1"/>
  <c r="AA62" i="4" s="1"/>
  <c r="AD68" i="4"/>
  <c r="AD62" i="4" s="1"/>
  <c r="AN69" i="4"/>
  <c r="AN62" i="4" s="1"/>
  <c r="X130" i="4"/>
  <c r="W130" i="4"/>
  <c r="V130" i="4"/>
  <c r="H130" i="4"/>
  <c r="R130" i="4"/>
  <c r="Q130" i="4"/>
  <c r="L130" i="4"/>
  <c r="G114" i="4" l="1"/>
  <c r="G113" i="4"/>
  <c r="G112" i="4"/>
  <c r="G109" i="4"/>
  <c r="G108" i="4"/>
  <c r="G105" i="4"/>
  <c r="G104" i="4"/>
  <c r="G103" i="4"/>
  <c r="G101" i="4"/>
  <c r="G100" i="4"/>
  <c r="G99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G110" i="4" s="1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I111" i="4"/>
  <c r="J111" i="4"/>
  <c r="K111" i="4"/>
  <c r="L111" i="4"/>
  <c r="M111" i="4"/>
  <c r="H111" i="4"/>
  <c r="H132" i="4"/>
  <c r="H135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H107" i="4"/>
  <c r="I102" i="4"/>
  <c r="I141" i="4" s="1"/>
  <c r="J102" i="4"/>
  <c r="K102" i="4"/>
  <c r="L102" i="4"/>
  <c r="M102" i="4"/>
  <c r="N102" i="4"/>
  <c r="O102" i="4"/>
  <c r="O141" i="4" s="1"/>
  <c r="P102" i="4"/>
  <c r="P141" i="4" s="1"/>
  <c r="Q102" i="4"/>
  <c r="R102" i="4"/>
  <c r="R141" i="4" s="1"/>
  <c r="S102" i="4"/>
  <c r="S141" i="4" s="1"/>
  <c r="T102" i="4"/>
  <c r="U102" i="4"/>
  <c r="U141" i="4" s="1"/>
  <c r="V102" i="4"/>
  <c r="V141" i="4" s="1"/>
  <c r="W102" i="4"/>
  <c r="X102" i="4"/>
  <c r="Y102" i="4"/>
  <c r="Z102" i="4"/>
  <c r="AA102" i="4"/>
  <c r="AA141" i="4" s="1"/>
  <c r="AB102" i="4"/>
  <c r="AB141" i="4" s="1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H102" i="4"/>
  <c r="H141" i="4" s="1"/>
  <c r="I98" i="4"/>
  <c r="J98" i="4"/>
  <c r="J140" i="4" s="1"/>
  <c r="K98" i="4"/>
  <c r="L98" i="4"/>
  <c r="M98" i="4"/>
  <c r="M140" i="4" s="1"/>
  <c r="N98" i="4"/>
  <c r="O98" i="4"/>
  <c r="P98" i="4"/>
  <c r="Q98" i="4"/>
  <c r="R98" i="4"/>
  <c r="S98" i="4"/>
  <c r="T98" i="4"/>
  <c r="U98" i="4"/>
  <c r="V98" i="4"/>
  <c r="W98" i="4"/>
  <c r="X98" i="4"/>
  <c r="Y98" i="4"/>
  <c r="Y140" i="4" s="1"/>
  <c r="Z98" i="4"/>
  <c r="AA98" i="4"/>
  <c r="AB98" i="4"/>
  <c r="AB140" i="4" s="1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H98" i="4"/>
  <c r="G13" i="4"/>
  <c r="G14" i="4"/>
  <c r="G9" i="4"/>
  <c r="G10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H12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H8" i="4"/>
  <c r="H17" i="4"/>
  <c r="H21" i="4"/>
  <c r="H28" i="4"/>
  <c r="U140" i="4" l="1"/>
  <c r="I140" i="4"/>
  <c r="T141" i="4"/>
  <c r="Q141" i="4"/>
  <c r="Z140" i="4"/>
  <c r="N140" i="4"/>
  <c r="X141" i="4"/>
  <c r="L141" i="4"/>
  <c r="W140" i="4"/>
  <c r="K140" i="4"/>
  <c r="T140" i="4"/>
  <c r="P140" i="4"/>
  <c r="V140" i="4"/>
  <c r="Q140" i="4"/>
  <c r="Z141" i="4"/>
  <c r="N141" i="4"/>
  <c r="M141" i="4"/>
  <c r="H140" i="4"/>
  <c r="S140" i="4"/>
  <c r="R140" i="4"/>
  <c r="AA140" i="4"/>
  <c r="O140" i="4"/>
  <c r="Y141" i="4"/>
  <c r="X140" i="4"/>
  <c r="L140" i="4"/>
  <c r="W141" i="4"/>
  <c r="K141" i="4"/>
  <c r="J141" i="4"/>
  <c r="G8" i="4"/>
  <c r="G111" i="4"/>
  <c r="F111" i="4" s="1"/>
  <c r="G12" i="4"/>
  <c r="G98" i="4"/>
  <c r="G107" i="4"/>
  <c r="F107" i="4" s="1"/>
  <c r="G102" i="4"/>
  <c r="F102" i="4" s="1"/>
  <c r="M130" i="4" l="1"/>
  <c r="E183" i="4" l="1"/>
  <c r="X183" i="4"/>
  <c r="Y183" i="4"/>
  <c r="Z183" i="4"/>
  <c r="AA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H183" i="4"/>
  <c r="X149" i="4" l="1"/>
  <c r="AX87" i="4" l="1"/>
  <c r="AM20" i="4" l="1"/>
  <c r="AM19" i="4"/>
  <c r="AS88" i="4" l="1"/>
  <c r="AT66" i="4"/>
  <c r="AT62" i="4" s="1"/>
  <c r="AR68" i="4" l="1"/>
  <c r="AR62" i="4" s="1"/>
  <c r="E175" i="4" l="1"/>
  <c r="E170" i="4"/>
  <c r="E165" i="4"/>
  <c r="F158" i="4"/>
  <c r="E158" i="4"/>
  <c r="F156" i="4"/>
  <c r="E156" i="4"/>
  <c r="F154" i="4"/>
  <c r="E154" i="4"/>
  <c r="E147" i="4"/>
  <c r="E139" i="4"/>
  <c r="E135" i="4"/>
  <c r="E132" i="4"/>
  <c r="E97" i="4"/>
  <c r="E96" i="4"/>
  <c r="E95" i="4"/>
  <c r="E92" i="4"/>
  <c r="E83" i="4"/>
  <c r="E78" i="4"/>
  <c r="E62" i="4"/>
  <c r="E56" i="4"/>
  <c r="E54" i="4"/>
  <c r="E49" i="4"/>
  <c r="E45" i="4"/>
  <c r="E43" i="4"/>
  <c r="E40" i="4"/>
  <c r="E37" i="4"/>
  <c r="E35" i="4"/>
  <c r="E28" i="4"/>
  <c r="E21" i="4"/>
  <c r="E17" i="4"/>
  <c r="E7" i="4"/>
  <c r="E164" i="4" l="1"/>
  <c r="E181" i="4" s="1"/>
  <c r="E6" i="4"/>
  <c r="E5" i="4" s="1"/>
  <c r="E4" i="4" s="1"/>
  <c r="E53" i="4"/>
  <c r="E138" i="4"/>
  <c r="E153" i="4"/>
  <c r="F153" i="4"/>
  <c r="E94" i="4"/>
  <c r="E182" i="4"/>
  <c r="E160" i="4" l="1"/>
  <c r="E163" i="4" s="1"/>
  <c r="I148" i="4" l="1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H148" i="4"/>
  <c r="AC148" i="4" l="1"/>
  <c r="G184" i="4" l="1"/>
  <c r="F184" i="4" s="1"/>
  <c r="G185" i="4"/>
  <c r="F185" i="4" s="1"/>
  <c r="G186" i="4"/>
  <c r="F186" i="4" s="1"/>
  <c r="AO67" i="4" l="1"/>
  <c r="AO62" i="4" s="1"/>
  <c r="G115" i="4" l="1"/>
  <c r="F115" i="4" s="1"/>
  <c r="F98" i="4"/>
  <c r="F12" i="4"/>
  <c r="F8" i="4"/>
  <c r="G24" i="4" l="1"/>
  <c r="F24" i="4" s="1"/>
  <c r="AD147" i="4" l="1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V147" i="4"/>
  <c r="AW147" i="4"/>
  <c r="AX147" i="4"/>
  <c r="AY147" i="4"/>
  <c r="AZ147" i="4"/>
  <c r="BA147" i="4"/>
  <c r="BB147" i="4"/>
  <c r="AC139" i="4"/>
  <c r="AM139" i="4"/>
  <c r="AU139" i="4"/>
  <c r="AV139" i="4"/>
  <c r="AW139" i="4"/>
  <c r="AX139" i="4"/>
  <c r="AY139" i="4"/>
  <c r="AZ139" i="4"/>
  <c r="BA139" i="4"/>
  <c r="BB139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AB145" i="4"/>
  <c r="AA145" i="4"/>
  <c r="Z145" i="4"/>
  <c r="Y145" i="4"/>
  <c r="X145" i="4"/>
  <c r="AB142" i="4"/>
  <c r="AA142" i="4"/>
  <c r="Z142" i="4"/>
  <c r="Y142" i="4"/>
  <c r="X142" i="4"/>
  <c r="W145" i="4"/>
  <c r="W142" i="4"/>
  <c r="AB144" i="4"/>
  <c r="AA144" i="4"/>
  <c r="Z144" i="4"/>
  <c r="Y144" i="4"/>
  <c r="W144" i="4"/>
  <c r="U144" i="4"/>
  <c r="T144" i="4"/>
  <c r="S144" i="4"/>
  <c r="R144" i="4"/>
  <c r="Q144" i="4"/>
  <c r="P144" i="4"/>
  <c r="N144" i="4"/>
  <c r="M144" i="4"/>
  <c r="L144" i="4"/>
  <c r="K144" i="4"/>
  <c r="I144" i="4"/>
  <c r="H144" i="4"/>
  <c r="H143" i="4"/>
  <c r="I143" i="4"/>
  <c r="J143" i="4"/>
  <c r="K143" i="4"/>
  <c r="L143" i="4"/>
  <c r="N143" i="4"/>
  <c r="O143" i="4"/>
  <c r="P143" i="4"/>
  <c r="R143" i="4"/>
  <c r="S143" i="4"/>
  <c r="T143" i="4"/>
  <c r="U143" i="4"/>
  <c r="V143" i="4"/>
  <c r="X143" i="4"/>
  <c r="Y143" i="4"/>
  <c r="Z143" i="4"/>
  <c r="AA143" i="4"/>
  <c r="AB143" i="4"/>
  <c r="Q147" i="4" l="1"/>
  <c r="W147" i="4"/>
  <c r="X147" i="4"/>
  <c r="Y147" i="4"/>
  <c r="M143" i="4"/>
  <c r="Q143" i="4"/>
  <c r="R147" i="4"/>
  <c r="X144" i="4"/>
  <c r="J144" i="4"/>
  <c r="V144" i="4"/>
  <c r="L147" i="4"/>
  <c r="O144" i="4"/>
  <c r="W143" i="4"/>
  <c r="Z147" i="4"/>
  <c r="AA147" i="4"/>
  <c r="AB147" i="4"/>
  <c r="H83" i="4" l="1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A175" i="4" l="1"/>
  <c r="BA170" i="4"/>
  <c r="BA165" i="4"/>
  <c r="BA158" i="4"/>
  <c r="BA156" i="4"/>
  <c r="BA154" i="4"/>
  <c r="BA138" i="4"/>
  <c r="BA135" i="4"/>
  <c r="BA132" i="4"/>
  <c r="BA97" i="4"/>
  <c r="BA96" i="4"/>
  <c r="BA95" i="4"/>
  <c r="BA92" i="4"/>
  <c r="BA86" i="4"/>
  <c r="BA78" i="4"/>
  <c r="BA56" i="4"/>
  <c r="BA54" i="4"/>
  <c r="BA49" i="4"/>
  <c r="BA45" i="4"/>
  <c r="BA43" i="4"/>
  <c r="BA40" i="4"/>
  <c r="BA37" i="4"/>
  <c r="BA35" i="4"/>
  <c r="BA28" i="4"/>
  <c r="BA21" i="4"/>
  <c r="BA17" i="4"/>
  <c r="BA7" i="4"/>
  <c r="BA164" i="4" l="1"/>
  <c r="BA188" i="4" s="1"/>
  <c r="BA6" i="4"/>
  <c r="BA5" i="4" s="1"/>
  <c r="BA4" i="4" s="1"/>
  <c r="BA153" i="4"/>
  <c r="BA182" i="4"/>
  <c r="BA94" i="4"/>
  <c r="BA53" i="4"/>
  <c r="BA181" i="4" l="1"/>
  <c r="BA160" i="4"/>
  <c r="BA163" i="4" s="1"/>
  <c r="H97" i="4" l="1"/>
  <c r="I97" i="4"/>
  <c r="J97" i="4"/>
  <c r="L97" i="4"/>
  <c r="M97" i="4"/>
  <c r="N97" i="4"/>
  <c r="O97" i="4"/>
  <c r="P97" i="4"/>
  <c r="Q97" i="4"/>
  <c r="V97" i="4"/>
  <c r="W97" i="4"/>
  <c r="X97" i="4"/>
  <c r="Y97" i="4"/>
  <c r="Z97" i="4"/>
  <c r="AB97" i="4"/>
  <c r="AC97" i="4"/>
  <c r="AD97" i="4"/>
  <c r="AE97" i="4"/>
  <c r="AF97" i="4"/>
  <c r="AG97" i="4"/>
  <c r="AH97" i="4"/>
  <c r="AI97" i="4"/>
  <c r="AJ97" i="4"/>
  <c r="AK97" i="4"/>
  <c r="AL97" i="4"/>
  <c r="AS97" i="4"/>
  <c r="AT97" i="4"/>
  <c r="AU97" i="4"/>
  <c r="AV97" i="4"/>
  <c r="AW97" i="4"/>
  <c r="AX97" i="4"/>
  <c r="AY97" i="4"/>
  <c r="AZ97" i="4"/>
  <c r="BB97" i="4"/>
  <c r="H146" i="4" l="1"/>
  <c r="H139" i="4" s="1"/>
  <c r="H150" i="4" s="1"/>
  <c r="AM97" i="4"/>
  <c r="AR97" i="4"/>
  <c r="AQ97" i="4"/>
  <c r="AP97" i="4"/>
  <c r="AO97" i="4"/>
  <c r="AN97" i="4"/>
  <c r="AA97" i="4"/>
  <c r="H7" i="4" l="1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B7" i="4"/>
  <c r="G145" i="4" l="1"/>
  <c r="F145" i="4" s="1"/>
  <c r="G144" i="4"/>
  <c r="F144" i="4" s="1"/>
  <c r="G143" i="4"/>
  <c r="F143" i="4" s="1"/>
  <c r="G16" i="4" l="1"/>
  <c r="F16" i="4" s="1"/>
  <c r="F7" i="4" s="1"/>
  <c r="G183" i="4" l="1"/>
  <c r="H170" i="4" l="1"/>
  <c r="H175" i="4"/>
  <c r="G133" i="4" l="1"/>
  <c r="F133" i="4" s="1"/>
  <c r="BB158" i="4" l="1"/>
  <c r="AZ158" i="4"/>
  <c r="AY158" i="4"/>
  <c r="AX158" i="4"/>
  <c r="AW158" i="4"/>
  <c r="AV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R158" i="4"/>
  <c r="Q158" i="4"/>
  <c r="L158" i="4"/>
  <c r="BB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BB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BB138" i="4"/>
  <c r="AZ138" i="4"/>
  <c r="AY138" i="4"/>
  <c r="AX138" i="4"/>
  <c r="AW138" i="4"/>
  <c r="AV138" i="4"/>
  <c r="AM138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B132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G134" i="4" s="1"/>
  <c r="F134" i="4" s="1"/>
  <c r="F132" i="4" s="1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B135" i="4"/>
  <c r="G157" i="4"/>
  <c r="G155" i="4"/>
  <c r="G136" i="4"/>
  <c r="F136" i="4" s="1"/>
  <c r="G131" i="4"/>
  <c r="F131" i="4" s="1"/>
  <c r="G130" i="4"/>
  <c r="F130" i="4" s="1"/>
  <c r="G129" i="4"/>
  <c r="F129" i="4" s="1"/>
  <c r="G128" i="4"/>
  <c r="F128" i="4" s="1"/>
  <c r="G127" i="4"/>
  <c r="F127" i="4" s="1"/>
  <c r="G126" i="4"/>
  <c r="F126" i="4" s="1"/>
  <c r="G106" i="4"/>
  <c r="F106" i="4" s="1"/>
  <c r="BB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Q96" i="4"/>
  <c r="P96" i="4"/>
  <c r="O96" i="4"/>
  <c r="N96" i="4"/>
  <c r="M96" i="4"/>
  <c r="L96" i="4"/>
  <c r="J96" i="4"/>
  <c r="I96" i="4"/>
  <c r="H96" i="4"/>
  <c r="BB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Q95" i="4"/>
  <c r="P95" i="4"/>
  <c r="O95" i="4"/>
  <c r="N95" i="4"/>
  <c r="M95" i="4"/>
  <c r="L95" i="4"/>
  <c r="K95" i="4"/>
  <c r="J95" i="4"/>
  <c r="I95" i="4"/>
  <c r="H95" i="4"/>
  <c r="BB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132" i="4" l="1"/>
  <c r="I94" i="4"/>
  <c r="AA153" i="4"/>
  <c r="BB94" i="4"/>
  <c r="AJ153" i="4"/>
  <c r="AV153" i="4"/>
  <c r="L153" i="4"/>
  <c r="AH94" i="4"/>
  <c r="P94" i="4"/>
  <c r="AB94" i="4"/>
  <c r="AN94" i="4"/>
  <c r="AK153" i="4"/>
  <c r="AG94" i="4"/>
  <c r="J94" i="4"/>
  <c r="X94" i="4"/>
  <c r="L94" i="4"/>
  <c r="Z94" i="4"/>
  <c r="AB153" i="4"/>
  <c r="AZ153" i="4"/>
  <c r="Q153" i="4"/>
  <c r="AC153" i="4"/>
  <c r="AO153" i="4"/>
  <c r="BB153" i="4"/>
  <c r="AI94" i="4"/>
  <c r="G125" i="4"/>
  <c r="F125" i="4" s="1"/>
  <c r="F97" i="4" s="1"/>
  <c r="K97" i="4"/>
  <c r="AS153" i="4"/>
  <c r="AX94" i="4"/>
  <c r="AZ94" i="4"/>
  <c r="AO94" i="4"/>
  <c r="G142" i="4"/>
  <c r="F142" i="4" s="1"/>
  <c r="AC147" i="4"/>
  <c r="AG153" i="4"/>
  <c r="AR153" i="4"/>
  <c r="AR94" i="4"/>
  <c r="X153" i="4"/>
  <c r="H94" i="4"/>
  <c r="K96" i="4"/>
  <c r="AF94" i="4"/>
  <c r="AJ94" i="4"/>
  <c r="AV94" i="4"/>
  <c r="Y153" i="4"/>
  <c r="AW153" i="4"/>
  <c r="G141" i="4"/>
  <c r="F141" i="4" s="1"/>
  <c r="M94" i="4"/>
  <c r="Y94" i="4"/>
  <c r="AK94" i="4"/>
  <c r="AW94" i="4"/>
  <c r="AN153" i="4"/>
  <c r="AT94" i="4"/>
  <c r="Q94" i="4"/>
  <c r="AP94" i="4"/>
  <c r="AF153" i="4"/>
  <c r="G140" i="4"/>
  <c r="F140" i="4" s="1"/>
  <c r="AS94" i="4"/>
  <c r="AI153" i="4"/>
  <c r="AQ153" i="4"/>
  <c r="AY153" i="4"/>
  <c r="N94" i="4"/>
  <c r="AA94" i="4"/>
  <c r="AY94" i="4"/>
  <c r="AQ94" i="4"/>
  <c r="AL94" i="4"/>
  <c r="G154" i="4"/>
  <c r="G156" i="4"/>
  <c r="AD153" i="4"/>
  <c r="AL153" i="4"/>
  <c r="AT153" i="4"/>
  <c r="R153" i="4"/>
  <c r="Z153" i="4"/>
  <c r="AH153" i="4"/>
  <c r="AP153" i="4"/>
  <c r="AX153" i="4"/>
  <c r="W153" i="4"/>
  <c r="AE153" i="4"/>
  <c r="AM153" i="4"/>
  <c r="AC94" i="4"/>
  <c r="G93" i="4" s="1"/>
  <c r="F93" i="4" s="1"/>
  <c r="F92" i="4" s="1"/>
  <c r="AD94" i="4"/>
  <c r="O94" i="4"/>
  <c r="W94" i="4"/>
  <c r="AE94" i="4"/>
  <c r="AM94" i="4"/>
  <c r="AU94" i="4"/>
  <c r="V94" i="4"/>
  <c r="G179" i="4"/>
  <c r="F179" i="4" s="1"/>
  <c r="G178" i="4"/>
  <c r="F178" i="4" s="1"/>
  <c r="G177" i="4"/>
  <c r="F177" i="4" s="1"/>
  <c r="G176" i="4"/>
  <c r="F176" i="4" s="1"/>
  <c r="G173" i="4"/>
  <c r="F173" i="4" s="1"/>
  <c r="G172" i="4"/>
  <c r="F172" i="4" s="1"/>
  <c r="G171" i="4"/>
  <c r="F171" i="4" s="1"/>
  <c r="G168" i="4"/>
  <c r="F168" i="4" s="1"/>
  <c r="G167" i="4"/>
  <c r="F167" i="4" s="1"/>
  <c r="G166" i="4"/>
  <c r="F166" i="4" s="1"/>
  <c r="G91" i="4"/>
  <c r="F91" i="4" s="1"/>
  <c r="G90" i="4"/>
  <c r="F90" i="4" s="1"/>
  <c r="G89" i="4"/>
  <c r="F89" i="4" s="1"/>
  <c r="G88" i="4"/>
  <c r="F88" i="4" s="1"/>
  <c r="G87" i="4"/>
  <c r="F87" i="4" s="1"/>
  <c r="G85" i="4"/>
  <c r="F85" i="4" s="1"/>
  <c r="G84" i="4"/>
  <c r="F84" i="4" s="1"/>
  <c r="F83" i="4" s="1"/>
  <c r="G82" i="4"/>
  <c r="F82" i="4" s="1"/>
  <c r="G81" i="4"/>
  <c r="F81" i="4" s="1"/>
  <c r="G80" i="4"/>
  <c r="F80" i="4" s="1"/>
  <c r="G79" i="4"/>
  <c r="F79" i="4" s="1"/>
  <c r="F76" i="4"/>
  <c r="F75" i="4"/>
  <c r="G74" i="4"/>
  <c r="F74" i="4" s="1"/>
  <c r="G73" i="4"/>
  <c r="F73" i="4" s="1"/>
  <c r="G72" i="4"/>
  <c r="F72" i="4" s="1"/>
  <c r="G71" i="4"/>
  <c r="F71" i="4" s="1"/>
  <c r="G70" i="4"/>
  <c r="F70" i="4" s="1"/>
  <c r="G69" i="4"/>
  <c r="F69" i="4" s="1"/>
  <c r="G68" i="4"/>
  <c r="F68" i="4" s="1"/>
  <c r="G67" i="4"/>
  <c r="F67" i="4" s="1"/>
  <c r="G66" i="4"/>
  <c r="F66" i="4" s="1"/>
  <c r="G65" i="4"/>
  <c r="F65" i="4" s="1"/>
  <c r="G64" i="4"/>
  <c r="F64" i="4" s="1"/>
  <c r="G63" i="4"/>
  <c r="F63" i="4" s="1"/>
  <c r="G60" i="4"/>
  <c r="F60" i="4" s="1"/>
  <c r="G58" i="4"/>
  <c r="F58" i="4" s="1"/>
  <c r="G57" i="4"/>
  <c r="F57" i="4" s="1"/>
  <c r="G51" i="4"/>
  <c r="F51" i="4" s="1"/>
  <c r="G50" i="4"/>
  <c r="F50" i="4" s="1"/>
  <c r="G47" i="4"/>
  <c r="F47" i="4" s="1"/>
  <c r="G46" i="4"/>
  <c r="F46" i="4" s="1"/>
  <c r="G41" i="4"/>
  <c r="F41" i="4" s="1"/>
  <c r="G38" i="4"/>
  <c r="F38" i="4" s="1"/>
  <c r="G34" i="4"/>
  <c r="F34" i="4" s="1"/>
  <c r="G33" i="4"/>
  <c r="F33" i="4" s="1"/>
  <c r="G32" i="4"/>
  <c r="F32" i="4" s="1"/>
  <c r="G31" i="4"/>
  <c r="F31" i="4" s="1"/>
  <c r="G30" i="4"/>
  <c r="F30" i="4" s="1"/>
  <c r="G29" i="4"/>
  <c r="F29" i="4" s="1"/>
  <c r="G27" i="4"/>
  <c r="F27" i="4" s="1"/>
  <c r="G26" i="4"/>
  <c r="F26" i="4" s="1"/>
  <c r="G25" i="4"/>
  <c r="F25" i="4" s="1"/>
  <c r="G23" i="4"/>
  <c r="F23" i="4" s="1"/>
  <c r="G22" i="4"/>
  <c r="F22" i="4" s="1"/>
  <c r="G20" i="4"/>
  <c r="F20" i="4" s="1"/>
  <c r="G19" i="4"/>
  <c r="F19" i="4" s="1"/>
  <c r="G18" i="4"/>
  <c r="F18" i="4" s="1"/>
  <c r="AY17" i="4"/>
  <c r="AZ17" i="4"/>
  <c r="BB17" i="4"/>
  <c r="AY21" i="4"/>
  <c r="AZ21" i="4"/>
  <c r="BB21" i="4"/>
  <c r="AY28" i="4"/>
  <c r="AZ28" i="4"/>
  <c r="BB28" i="4"/>
  <c r="AY35" i="4"/>
  <c r="AZ35" i="4"/>
  <c r="BB35" i="4"/>
  <c r="AY37" i="4"/>
  <c r="AZ37" i="4"/>
  <c r="BB37" i="4"/>
  <c r="AY40" i="4"/>
  <c r="AZ40" i="4"/>
  <c r="BB40" i="4"/>
  <c r="AY43" i="4"/>
  <c r="AZ43" i="4"/>
  <c r="BB43" i="4"/>
  <c r="AY45" i="4"/>
  <c r="AZ45" i="4"/>
  <c r="BB45" i="4"/>
  <c r="AY49" i="4"/>
  <c r="AZ49" i="4"/>
  <c r="BB49" i="4"/>
  <c r="AY54" i="4"/>
  <c r="AZ54" i="4"/>
  <c r="BB54" i="4"/>
  <c r="AY56" i="4"/>
  <c r="AZ56" i="4"/>
  <c r="BB56" i="4"/>
  <c r="AY78" i="4"/>
  <c r="AZ78" i="4"/>
  <c r="BB78" i="4"/>
  <c r="AY86" i="4"/>
  <c r="AZ86" i="4"/>
  <c r="BB86" i="4"/>
  <c r="AY165" i="4"/>
  <c r="AZ165" i="4"/>
  <c r="BB165" i="4"/>
  <c r="AY170" i="4"/>
  <c r="AZ170" i="4"/>
  <c r="BB170" i="4"/>
  <c r="AY175" i="4"/>
  <c r="AZ175" i="4"/>
  <c r="BB175" i="4"/>
  <c r="I17" i="4"/>
  <c r="J17" i="4"/>
  <c r="K17" i="4"/>
  <c r="L17" i="4"/>
  <c r="L146" i="4" s="1"/>
  <c r="M17" i="4"/>
  <c r="N17" i="4"/>
  <c r="N146" i="4" s="1"/>
  <c r="O17" i="4"/>
  <c r="P17" i="4"/>
  <c r="Q17" i="4"/>
  <c r="Q146" i="4" s="1"/>
  <c r="R17" i="4"/>
  <c r="R146" i="4" s="1"/>
  <c r="S17" i="4"/>
  <c r="T17" i="4"/>
  <c r="U17" i="4"/>
  <c r="V17" i="4"/>
  <c r="V146" i="4" s="1"/>
  <c r="W17" i="4"/>
  <c r="W146" i="4" s="1"/>
  <c r="X17" i="4"/>
  <c r="Y17" i="4"/>
  <c r="Y146" i="4" s="1"/>
  <c r="Z17" i="4"/>
  <c r="Z146" i="4" s="1"/>
  <c r="AA17" i="4"/>
  <c r="AA146" i="4" s="1"/>
  <c r="AB17" i="4"/>
  <c r="AB146" i="4" s="1"/>
  <c r="AC17" i="4"/>
  <c r="AD17" i="4"/>
  <c r="AD146" i="4" s="1"/>
  <c r="AE17" i="4"/>
  <c r="AE146" i="4" s="1"/>
  <c r="AF17" i="4"/>
  <c r="AF146" i="4" s="1"/>
  <c r="AG17" i="4"/>
  <c r="AG146" i="4" s="1"/>
  <c r="AH17" i="4"/>
  <c r="AH146" i="4" s="1"/>
  <c r="AI17" i="4"/>
  <c r="AI146" i="4" s="1"/>
  <c r="AJ17" i="4"/>
  <c r="AJ146" i="4" s="1"/>
  <c r="AK17" i="4"/>
  <c r="AK146" i="4" s="1"/>
  <c r="AL17" i="4"/>
  <c r="AL146" i="4" s="1"/>
  <c r="AM17" i="4"/>
  <c r="AN17" i="4"/>
  <c r="AN146" i="4" s="1"/>
  <c r="AO17" i="4"/>
  <c r="AO146" i="4" s="1"/>
  <c r="AP17" i="4"/>
  <c r="AP146" i="4" s="1"/>
  <c r="AQ17" i="4"/>
  <c r="AQ146" i="4" s="1"/>
  <c r="AR17" i="4"/>
  <c r="AR146" i="4" s="1"/>
  <c r="AS17" i="4"/>
  <c r="AS146" i="4" s="1"/>
  <c r="AT17" i="4"/>
  <c r="AU17" i="4"/>
  <c r="AV17" i="4"/>
  <c r="AW17" i="4"/>
  <c r="AX17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G36" i="4" s="1"/>
  <c r="F36" i="4" s="1"/>
  <c r="F35" i="4" s="1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G39" i="4" s="1"/>
  <c r="F39" i="4" s="1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G42" i="4" s="1"/>
  <c r="F42" i="4" s="1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G44" i="4" s="1"/>
  <c r="F44" i="4" s="1"/>
  <c r="F43" i="4" s="1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G48" i="4" s="1"/>
  <c r="F48" i="4" s="1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G55" i="4" s="1"/>
  <c r="F55" i="4" s="1"/>
  <c r="F54" i="4" s="1"/>
  <c r="AD56" i="4"/>
  <c r="AE56" i="4"/>
  <c r="AF56" i="4"/>
  <c r="AG56" i="4"/>
  <c r="AH56" i="4"/>
  <c r="AI56" i="4"/>
  <c r="AJ56" i="4"/>
  <c r="AK56" i="4"/>
  <c r="AL56" i="4"/>
  <c r="AN56" i="4"/>
  <c r="AO56" i="4"/>
  <c r="AP56" i="4"/>
  <c r="AQ56" i="4"/>
  <c r="AR56" i="4"/>
  <c r="AS56" i="4"/>
  <c r="AT56" i="4"/>
  <c r="AU56" i="4"/>
  <c r="AV56" i="4"/>
  <c r="AW56" i="4"/>
  <c r="AX56" i="4"/>
  <c r="H62" i="4"/>
  <c r="G61" i="4"/>
  <c r="F61" i="4" s="1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G77" i="4" s="1"/>
  <c r="F77" i="4" s="1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H165" i="4"/>
  <c r="H182" i="4" s="1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AI165" i="4"/>
  <c r="AJ165" i="4"/>
  <c r="AK165" i="4"/>
  <c r="AL165" i="4"/>
  <c r="AM165" i="4"/>
  <c r="AN165" i="4"/>
  <c r="AO165" i="4"/>
  <c r="AP165" i="4"/>
  <c r="AQ165" i="4"/>
  <c r="AR165" i="4"/>
  <c r="AS165" i="4"/>
  <c r="AT165" i="4"/>
  <c r="AU165" i="4"/>
  <c r="AV165" i="4"/>
  <c r="AW165" i="4"/>
  <c r="AX165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AA170" i="4"/>
  <c r="AB170" i="4"/>
  <c r="AC170" i="4"/>
  <c r="G169" i="4" s="1"/>
  <c r="F169" i="4" s="1"/>
  <c r="AD170" i="4"/>
  <c r="AE170" i="4"/>
  <c r="AF170" i="4"/>
  <c r="AG170" i="4"/>
  <c r="AH170" i="4"/>
  <c r="AI170" i="4"/>
  <c r="AJ170" i="4"/>
  <c r="AK170" i="4"/>
  <c r="AL170" i="4"/>
  <c r="AM170" i="4"/>
  <c r="AN170" i="4"/>
  <c r="AO170" i="4"/>
  <c r="AP170" i="4"/>
  <c r="AQ170" i="4"/>
  <c r="AR170" i="4"/>
  <c r="AS170" i="4"/>
  <c r="AT170" i="4"/>
  <c r="AU170" i="4"/>
  <c r="AV170" i="4"/>
  <c r="AW170" i="4"/>
  <c r="AX170" i="4"/>
  <c r="I175" i="4"/>
  <c r="J175" i="4"/>
  <c r="J182" i="4" s="1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G174" i="4" s="1"/>
  <c r="F174" i="4" s="1"/>
  <c r="AD175" i="4"/>
  <c r="AE175" i="4"/>
  <c r="AF175" i="4"/>
  <c r="AG175" i="4"/>
  <c r="AH175" i="4"/>
  <c r="AI175" i="4"/>
  <c r="AJ175" i="4"/>
  <c r="AK175" i="4"/>
  <c r="AL175" i="4"/>
  <c r="AM175" i="4"/>
  <c r="AN175" i="4"/>
  <c r="AO175" i="4"/>
  <c r="AP175" i="4"/>
  <c r="AQ175" i="4"/>
  <c r="AR175" i="4"/>
  <c r="AS175" i="4"/>
  <c r="AT175" i="4"/>
  <c r="AU175" i="4"/>
  <c r="AV175" i="4"/>
  <c r="AW175" i="4"/>
  <c r="AX175" i="4"/>
  <c r="G92" i="4" l="1"/>
  <c r="F40" i="4"/>
  <c r="F165" i="4"/>
  <c r="X146" i="4"/>
  <c r="X139" i="4" s="1"/>
  <c r="F45" i="4"/>
  <c r="F78" i="4"/>
  <c r="F37" i="4"/>
  <c r="F170" i="4"/>
  <c r="F175" i="4"/>
  <c r="F21" i="4"/>
  <c r="F28" i="4"/>
  <c r="U146" i="4"/>
  <c r="U139" i="4" s="1"/>
  <c r="U150" i="4" s="1"/>
  <c r="T146" i="4"/>
  <c r="T139" i="4" s="1"/>
  <c r="T150" i="4" s="1"/>
  <c r="F17" i="4"/>
  <c r="S146" i="4"/>
  <c r="S139" i="4" s="1"/>
  <c r="S150" i="4" s="1"/>
  <c r="P146" i="4"/>
  <c r="P139" i="4" s="1"/>
  <c r="P150" i="4" s="1"/>
  <c r="O146" i="4"/>
  <c r="O139" i="4" s="1"/>
  <c r="O150" i="4" s="1"/>
  <c r="M146" i="4"/>
  <c r="M139" i="4" s="1"/>
  <c r="K146" i="4"/>
  <c r="K139" i="4" s="1"/>
  <c r="K150" i="4" s="1"/>
  <c r="J146" i="4"/>
  <c r="J139" i="4" s="1"/>
  <c r="J150" i="4" s="1"/>
  <c r="I146" i="4"/>
  <c r="I139" i="4" s="1"/>
  <c r="I150" i="4" s="1"/>
  <c r="F62" i="4"/>
  <c r="F96" i="4"/>
  <c r="F95" i="4"/>
  <c r="F86" i="4"/>
  <c r="I182" i="4"/>
  <c r="AL139" i="4"/>
  <c r="AL138" i="4" s="1"/>
  <c r="Z139" i="4"/>
  <c r="Z138" i="4" s="1"/>
  <c r="N139" i="4"/>
  <c r="N150" i="4" s="1"/>
  <c r="AK139" i="4"/>
  <c r="AK138" i="4" s="1"/>
  <c r="Y139" i="4"/>
  <c r="Y138" i="4" s="1"/>
  <c r="AJ139" i="4"/>
  <c r="AJ138" i="4" s="1"/>
  <c r="L139" i="4"/>
  <c r="L138" i="4" s="1"/>
  <c r="AI139" i="4"/>
  <c r="AI138" i="4" s="1"/>
  <c r="W139" i="4"/>
  <c r="W138" i="4" s="1"/>
  <c r="AT139" i="4"/>
  <c r="AT138" i="4" s="1"/>
  <c r="AH139" i="4"/>
  <c r="AH138" i="4" s="1"/>
  <c r="V139" i="4"/>
  <c r="V150" i="4" s="1"/>
  <c r="AS139" i="4"/>
  <c r="AS138" i="4" s="1"/>
  <c r="AG139" i="4"/>
  <c r="AG138" i="4" s="1"/>
  <c r="AR139" i="4"/>
  <c r="AR138" i="4" s="1"/>
  <c r="AF139" i="4"/>
  <c r="AF138" i="4" s="1"/>
  <c r="AE139" i="4"/>
  <c r="AE138" i="4" s="1"/>
  <c r="AA139" i="4"/>
  <c r="AA138" i="4" s="1"/>
  <c r="AQ139" i="4"/>
  <c r="AQ138" i="4" s="1"/>
  <c r="AP139" i="4"/>
  <c r="AP138" i="4" s="1"/>
  <c r="AD139" i="4"/>
  <c r="AD138" i="4" s="1"/>
  <c r="R139" i="4"/>
  <c r="R138" i="4" s="1"/>
  <c r="AO139" i="4"/>
  <c r="AO138" i="4" s="1"/>
  <c r="Q139" i="4"/>
  <c r="Q138" i="4" s="1"/>
  <c r="AN139" i="4"/>
  <c r="AN138" i="4" s="1"/>
  <c r="AB139" i="4"/>
  <c r="AB138" i="4" s="1"/>
  <c r="G83" i="4"/>
  <c r="G95" i="4"/>
  <c r="G96" i="4"/>
  <c r="K94" i="4"/>
  <c r="G97" i="4"/>
  <c r="AZ182" i="4"/>
  <c r="AD53" i="4"/>
  <c r="AL53" i="4"/>
  <c r="N53" i="4"/>
  <c r="AT53" i="4"/>
  <c r="V53" i="4"/>
  <c r="AF182" i="4"/>
  <c r="AT182" i="4"/>
  <c r="AL182" i="4"/>
  <c r="AD182" i="4"/>
  <c r="V182" i="4"/>
  <c r="AK182" i="4"/>
  <c r="AC182" i="4"/>
  <c r="AS182" i="4"/>
  <c r="U182" i="4"/>
  <c r="N182" i="4"/>
  <c r="M182" i="4"/>
  <c r="AI53" i="4"/>
  <c r="AA53" i="4"/>
  <c r="S53" i="4"/>
  <c r="K53" i="4"/>
  <c r="AQ53" i="4"/>
  <c r="AH182" i="4"/>
  <c r="AR53" i="4"/>
  <c r="AJ53" i="4"/>
  <c r="AB53" i="4"/>
  <c r="T53" i="4"/>
  <c r="L53" i="4"/>
  <c r="AX53" i="4"/>
  <c r="AP53" i="4"/>
  <c r="AH53" i="4"/>
  <c r="Z53" i="4"/>
  <c r="R53" i="4"/>
  <c r="J53" i="4"/>
  <c r="AW53" i="4"/>
  <c r="AO53" i="4"/>
  <c r="AG53" i="4"/>
  <c r="Y53" i="4"/>
  <c r="Q53" i="4"/>
  <c r="I53" i="4"/>
  <c r="BB53" i="4"/>
  <c r="AV53" i="4"/>
  <c r="AN53" i="4"/>
  <c r="AF53" i="4"/>
  <c r="X53" i="4"/>
  <c r="P53" i="4"/>
  <c r="H53" i="4"/>
  <c r="AZ53" i="4"/>
  <c r="AU53" i="4"/>
  <c r="AE53" i="4"/>
  <c r="W53" i="4"/>
  <c r="O53" i="4"/>
  <c r="AY53" i="4"/>
  <c r="AS53" i="4"/>
  <c r="AK53" i="4"/>
  <c r="AC53" i="4"/>
  <c r="G52" i="4" s="1"/>
  <c r="F52" i="4" s="1"/>
  <c r="F49" i="4" s="1"/>
  <c r="U53" i="4"/>
  <c r="M53" i="4"/>
  <c r="G54" i="4"/>
  <c r="G40" i="4"/>
  <c r="AX182" i="4"/>
  <c r="AP182" i="4"/>
  <c r="Z182" i="4"/>
  <c r="AV182" i="4"/>
  <c r="G43" i="4"/>
  <c r="AW182" i="4"/>
  <c r="AO182" i="4"/>
  <c r="AG182" i="4"/>
  <c r="Y182" i="4"/>
  <c r="Q182" i="4"/>
  <c r="R182" i="4"/>
  <c r="G17" i="4"/>
  <c r="AN182" i="4"/>
  <c r="X182" i="4"/>
  <c r="P182" i="4"/>
  <c r="W182" i="4"/>
  <c r="AZ164" i="4"/>
  <c r="AY182" i="4"/>
  <c r="AY6" i="4"/>
  <c r="AY5" i="4" s="1"/>
  <c r="AY4" i="4" s="1"/>
  <c r="G35" i="4"/>
  <c r="G170" i="4"/>
  <c r="AR164" i="4"/>
  <c r="AR188" i="4" s="1"/>
  <c r="AJ164" i="4"/>
  <c r="AJ188" i="4" s="1"/>
  <c r="AB164" i="4"/>
  <c r="T164" i="4"/>
  <c r="L164" i="4"/>
  <c r="G165" i="4"/>
  <c r="AQ164" i="4"/>
  <c r="AI164" i="4"/>
  <c r="AA164" i="4"/>
  <c r="AA188" i="4" s="1"/>
  <c r="S164" i="4"/>
  <c r="S188" i="4" s="1"/>
  <c r="K164" i="4"/>
  <c r="K188" i="4" s="1"/>
  <c r="G175" i="4"/>
  <c r="AU182" i="4"/>
  <c r="AM182" i="4"/>
  <c r="AE182" i="4"/>
  <c r="O182" i="4"/>
  <c r="AT6" i="4"/>
  <c r="AT5" i="4" s="1"/>
  <c r="AT4" i="4" s="1"/>
  <c r="AL6" i="4"/>
  <c r="AL5" i="4" s="1"/>
  <c r="AL4" i="4" s="1"/>
  <c r="AD6" i="4"/>
  <c r="AD5" i="4" s="1"/>
  <c r="AD4" i="4" s="1"/>
  <c r="V6" i="4"/>
  <c r="V5" i="4" s="1"/>
  <c r="V4" i="4" s="1"/>
  <c r="N6" i="4"/>
  <c r="N5" i="4" s="1"/>
  <c r="N4" i="4" s="1"/>
  <c r="AU6" i="4"/>
  <c r="AU5" i="4" s="1"/>
  <c r="AU4" i="4" s="1"/>
  <c r="AM6" i="4"/>
  <c r="AM5" i="4" s="1"/>
  <c r="AM4" i="4" s="1"/>
  <c r="AE6" i="4"/>
  <c r="AE5" i="4" s="1"/>
  <c r="AE4" i="4" s="1"/>
  <c r="W6" i="4"/>
  <c r="W5" i="4" s="1"/>
  <c r="W4" i="4" s="1"/>
  <c r="O6" i="4"/>
  <c r="O5" i="4" s="1"/>
  <c r="O4" i="4" s="1"/>
  <c r="AX164" i="4"/>
  <c r="AX188" i="4" s="1"/>
  <c r="AP164" i="4"/>
  <c r="AP188" i="4" s="1"/>
  <c r="AH164" i="4"/>
  <c r="Z164" i="4"/>
  <c r="Z188" i="4" s="1"/>
  <c r="R164" i="4"/>
  <c r="R188" i="4" s="1"/>
  <c r="J164" i="4"/>
  <c r="AY164" i="4"/>
  <c r="AY188" i="4" s="1"/>
  <c r="AS164" i="4"/>
  <c r="AS188" i="4" s="1"/>
  <c r="AK164" i="4"/>
  <c r="AK188" i="4" s="1"/>
  <c r="AC164" i="4"/>
  <c r="AC188" i="4" s="1"/>
  <c r="G187" i="4" s="1"/>
  <c r="F187" i="4" s="1"/>
  <c r="U164" i="4"/>
  <c r="U188" i="4" s="1"/>
  <c r="M164" i="4"/>
  <c r="M188" i="4" s="1"/>
  <c r="AW164" i="4"/>
  <c r="AW188" i="4" s="1"/>
  <c r="AO164" i="4"/>
  <c r="AG164" i="4"/>
  <c r="AG188" i="4" s="1"/>
  <c r="Y164" i="4"/>
  <c r="Y188" i="4" s="1"/>
  <c r="Q164" i="4"/>
  <c r="Q188" i="4" s="1"/>
  <c r="I164" i="4"/>
  <c r="G45" i="4"/>
  <c r="AR6" i="4"/>
  <c r="AR5" i="4" s="1"/>
  <c r="AR4" i="4" s="1"/>
  <c r="AJ6" i="4"/>
  <c r="AJ5" i="4" s="1"/>
  <c r="AJ4" i="4" s="1"/>
  <c r="AB6" i="4"/>
  <c r="AB5" i="4" s="1"/>
  <c r="AB4" i="4" s="1"/>
  <c r="T6" i="4"/>
  <c r="T5" i="4" s="1"/>
  <c r="T4" i="4" s="1"/>
  <c r="L6" i="4"/>
  <c r="L5" i="4" s="1"/>
  <c r="L4" i="4" s="1"/>
  <c r="AV164" i="4"/>
  <c r="AV188" i="4" s="1"/>
  <c r="AN164" i="4"/>
  <c r="AN188" i="4" s="1"/>
  <c r="AF164" i="4"/>
  <c r="AF188" i="4" s="1"/>
  <c r="X164" i="4"/>
  <c r="X188" i="4" s="1"/>
  <c r="P164" i="4"/>
  <c r="P188" i="4" s="1"/>
  <c r="H164" i="4"/>
  <c r="AQ6" i="4"/>
  <c r="AQ5" i="4" s="1"/>
  <c r="AQ4" i="4" s="1"/>
  <c r="AI6" i="4"/>
  <c r="AI5" i="4" s="1"/>
  <c r="AI4" i="4" s="1"/>
  <c r="AA6" i="4"/>
  <c r="AA5" i="4" s="1"/>
  <c r="AA4" i="4" s="1"/>
  <c r="S6" i="4"/>
  <c r="S5" i="4" s="1"/>
  <c r="S4" i="4" s="1"/>
  <c r="K6" i="4"/>
  <c r="K5" i="4" s="1"/>
  <c r="K4" i="4" s="1"/>
  <c r="AU164" i="4"/>
  <c r="AU188" i="4" s="1"/>
  <c r="AM164" i="4"/>
  <c r="AM188" i="4" s="1"/>
  <c r="AE164" i="4"/>
  <c r="AE188" i="4" s="1"/>
  <c r="W164" i="4"/>
  <c r="O164" i="4"/>
  <c r="AX6" i="4"/>
  <c r="AX5" i="4" s="1"/>
  <c r="AX4" i="4" s="1"/>
  <c r="AP6" i="4"/>
  <c r="AP5" i="4" s="1"/>
  <c r="AP4" i="4" s="1"/>
  <c r="AH6" i="4"/>
  <c r="AH5" i="4" s="1"/>
  <c r="AH4" i="4" s="1"/>
  <c r="Z6" i="4"/>
  <c r="Z5" i="4" s="1"/>
  <c r="Z4" i="4" s="1"/>
  <c r="R6" i="4"/>
  <c r="R5" i="4" s="1"/>
  <c r="R4" i="4" s="1"/>
  <c r="J6" i="4"/>
  <c r="J5" i="4" s="1"/>
  <c r="J4" i="4" s="1"/>
  <c r="BB6" i="4"/>
  <c r="BB5" i="4" s="1"/>
  <c r="BB4" i="4" s="1"/>
  <c r="AR182" i="4"/>
  <c r="AB182" i="4"/>
  <c r="AT164" i="4"/>
  <c r="AT188" i="4" s="1"/>
  <c r="AL164" i="4"/>
  <c r="AL188" i="4" s="1"/>
  <c r="AD164" i="4"/>
  <c r="V164" i="4"/>
  <c r="V188" i="4" s="1"/>
  <c r="N164" i="4"/>
  <c r="N188" i="4" s="1"/>
  <c r="AS6" i="4"/>
  <c r="AS5" i="4" s="1"/>
  <c r="AS4" i="4" s="1"/>
  <c r="AK6" i="4"/>
  <c r="AK5" i="4" s="1"/>
  <c r="AK4" i="4" s="1"/>
  <c r="AW6" i="4"/>
  <c r="AW5" i="4" s="1"/>
  <c r="AW4" i="4" s="1"/>
  <c r="AO6" i="4"/>
  <c r="AO5" i="4" s="1"/>
  <c r="AO4" i="4" s="1"/>
  <c r="AG6" i="4"/>
  <c r="AG5" i="4" s="1"/>
  <c r="AG4" i="4" s="1"/>
  <c r="Y6" i="4"/>
  <c r="Y5" i="4" s="1"/>
  <c r="Y4" i="4" s="1"/>
  <c r="Q6" i="4"/>
  <c r="Q5" i="4" s="1"/>
  <c r="Q4" i="4" s="1"/>
  <c r="I6" i="4"/>
  <c r="I5" i="4" s="1"/>
  <c r="I4" i="4" s="1"/>
  <c r="AZ6" i="4"/>
  <c r="AZ5" i="4" s="1"/>
  <c r="AZ4" i="4" s="1"/>
  <c r="AJ182" i="4"/>
  <c r="T182" i="4"/>
  <c r="L182" i="4"/>
  <c r="AQ182" i="4"/>
  <c r="AI182" i="4"/>
  <c r="AA182" i="4"/>
  <c r="S182" i="4"/>
  <c r="K182" i="4"/>
  <c r="AV6" i="4"/>
  <c r="AV5" i="4" s="1"/>
  <c r="AV4" i="4" s="1"/>
  <c r="AN6" i="4"/>
  <c r="AN5" i="4" s="1"/>
  <c r="AN4" i="4" s="1"/>
  <c r="AF6" i="4"/>
  <c r="AF5" i="4" s="1"/>
  <c r="AF4" i="4" s="1"/>
  <c r="X6" i="4"/>
  <c r="X5" i="4" s="1"/>
  <c r="X4" i="4" s="1"/>
  <c r="P6" i="4"/>
  <c r="P5" i="4" s="1"/>
  <c r="P4" i="4" s="1"/>
  <c r="H6" i="4"/>
  <c r="H5" i="4" s="1"/>
  <c r="H4" i="4" s="1"/>
  <c r="BB164" i="4"/>
  <c r="BB188" i="4" s="1"/>
  <c r="AC6" i="4"/>
  <c r="AC5" i="4" s="1"/>
  <c r="AC4" i="4" s="1"/>
  <c r="U6" i="4"/>
  <c r="U5" i="4" s="1"/>
  <c r="U4" i="4" s="1"/>
  <c r="M6" i="4"/>
  <c r="M5" i="4" s="1"/>
  <c r="M4" i="4" s="1"/>
  <c r="G21" i="4"/>
  <c r="G78" i="4"/>
  <c r="G86" i="4"/>
  <c r="G62" i="4"/>
  <c r="G28" i="4"/>
  <c r="G37" i="4"/>
  <c r="BB182" i="4"/>
  <c r="H151" i="4" l="1"/>
  <c r="P151" i="4"/>
  <c r="J151" i="4"/>
  <c r="K151" i="4"/>
  <c r="V151" i="4"/>
  <c r="O151" i="4"/>
  <c r="G49" i="4"/>
  <c r="N147" i="4"/>
  <c r="N138" i="4" s="1"/>
  <c r="V147" i="4"/>
  <c r="V138" i="4" s="1"/>
  <c r="F164" i="4"/>
  <c r="F181" i="4" s="1"/>
  <c r="F182" i="4"/>
  <c r="F6" i="4"/>
  <c r="F5" i="4" s="1"/>
  <c r="F4" i="4" s="1"/>
  <c r="G150" i="4"/>
  <c r="F150" i="4" s="1"/>
  <c r="H181" i="4"/>
  <c r="H188" i="4"/>
  <c r="I181" i="4"/>
  <c r="I188" i="4"/>
  <c r="J181" i="4"/>
  <c r="J188" i="4"/>
  <c r="G7" i="4"/>
  <c r="AJ181" i="4"/>
  <c r="K181" i="4"/>
  <c r="AK181" i="4"/>
  <c r="G146" i="4"/>
  <c r="F146" i="4" s="1"/>
  <c r="F139" i="4" s="1"/>
  <c r="AL160" i="4"/>
  <c r="AL163" i="4" s="1"/>
  <c r="AA181" i="4"/>
  <c r="AN181" i="4"/>
  <c r="Q181" i="4"/>
  <c r="AX181" i="4"/>
  <c r="AY181" i="4"/>
  <c r="AS181" i="4"/>
  <c r="AP181" i="4"/>
  <c r="S181" i="4"/>
  <c r="AR181" i="4"/>
  <c r="BB181" i="4"/>
  <c r="AD160" i="4"/>
  <c r="AD163" i="4" s="1"/>
  <c r="AT160" i="4"/>
  <c r="AT163" i="4" s="1"/>
  <c r="AQ181" i="4"/>
  <c r="AQ188" i="4"/>
  <c r="AZ181" i="4"/>
  <c r="AZ188" i="4"/>
  <c r="AI181" i="4"/>
  <c r="AI188" i="4"/>
  <c r="L181" i="4"/>
  <c r="L188" i="4"/>
  <c r="T181" i="4"/>
  <c r="T188" i="4"/>
  <c r="AB181" i="4"/>
  <c r="AB188" i="4"/>
  <c r="AU181" i="4"/>
  <c r="AD181" i="4"/>
  <c r="AD188" i="4"/>
  <c r="O181" i="4"/>
  <c r="O188" i="4"/>
  <c r="W181" i="4"/>
  <c r="W188" i="4"/>
  <c r="AO181" i="4"/>
  <c r="AO188" i="4"/>
  <c r="AH181" i="4"/>
  <c r="AH188" i="4"/>
  <c r="AK160" i="4"/>
  <c r="AK163" i="4" s="1"/>
  <c r="AE181" i="4"/>
  <c r="AF181" i="4"/>
  <c r="Y181" i="4"/>
  <c r="AG181" i="4"/>
  <c r="AL181" i="4"/>
  <c r="G164" i="4"/>
  <c r="U181" i="4"/>
  <c r="N181" i="4"/>
  <c r="R181" i="4"/>
  <c r="G182" i="4"/>
  <c r="AA160" i="4"/>
  <c r="AA163" i="4" s="1"/>
  <c r="AI160" i="4"/>
  <c r="AI163" i="4" s="1"/>
  <c r="BB160" i="4"/>
  <c r="BB163" i="4" s="1"/>
  <c r="AR160" i="4"/>
  <c r="AR163" i="4" s="1"/>
  <c r="AQ160" i="4"/>
  <c r="AQ163" i="4" s="1"/>
  <c r="AE160" i="4"/>
  <c r="AE163" i="4" s="1"/>
  <c r="AH160" i="4"/>
  <c r="AH163" i="4" s="1"/>
  <c r="AJ160" i="4"/>
  <c r="AJ163" i="4" s="1"/>
  <c r="Z160" i="4"/>
  <c r="Z163" i="4" s="1"/>
  <c r="Y160" i="4"/>
  <c r="Y163" i="4" s="1"/>
  <c r="Q160" i="4"/>
  <c r="Q163" i="4" s="1"/>
  <c r="L160" i="4"/>
  <c r="L163" i="4" s="1"/>
  <c r="AZ160" i="4"/>
  <c r="AZ163" i="4" s="1"/>
  <c r="AY160" i="4"/>
  <c r="AY163" i="4" s="1"/>
  <c r="AB160" i="4"/>
  <c r="AB163" i="4" s="1"/>
  <c r="AP160" i="4"/>
  <c r="AP163" i="4" s="1"/>
  <c r="AS160" i="4"/>
  <c r="AS163" i="4" s="1"/>
  <c r="AW160" i="4"/>
  <c r="AW163" i="4" s="1"/>
  <c r="AV160" i="4"/>
  <c r="AV163" i="4" s="1"/>
  <c r="AO160" i="4"/>
  <c r="AO163" i="4" s="1"/>
  <c r="AN160" i="4"/>
  <c r="AN163" i="4" s="1"/>
  <c r="W160" i="4"/>
  <c r="W163" i="4" s="1"/>
  <c r="AG160" i="4"/>
  <c r="AG163" i="4" s="1"/>
  <c r="AF160" i="4"/>
  <c r="AF163" i="4" s="1"/>
  <c r="AX160" i="4"/>
  <c r="AX163" i="4" s="1"/>
  <c r="P181" i="4"/>
  <c r="AM181" i="4"/>
  <c r="AC181" i="4"/>
  <c r="G180" i="4" s="1"/>
  <c r="F180" i="4" s="1"/>
  <c r="AV181" i="4"/>
  <c r="AT181" i="4"/>
  <c r="Z181" i="4"/>
  <c r="X181" i="4"/>
  <c r="V181" i="4"/>
  <c r="AW181" i="4"/>
  <c r="M181" i="4"/>
  <c r="G6" i="4" l="1"/>
  <c r="G5" i="4" s="1"/>
  <c r="N158" i="4"/>
  <c r="N153" i="4" s="1"/>
  <c r="N160" i="4" s="1"/>
  <c r="N163" i="4" s="1"/>
  <c r="V158" i="4"/>
  <c r="V153" i="4" s="1"/>
  <c r="V160" i="4" s="1"/>
  <c r="V163" i="4" s="1"/>
  <c r="G139" i="4"/>
  <c r="I147" i="4"/>
  <c r="I138" i="4" s="1"/>
  <c r="K147" i="4"/>
  <c r="K138" i="4" s="1"/>
  <c r="O147" i="4"/>
  <c r="O138" i="4" s="1"/>
  <c r="J147" i="4"/>
  <c r="J138" i="4" s="1"/>
  <c r="P147" i="4"/>
  <c r="P138" i="4" s="1"/>
  <c r="M147" i="4"/>
  <c r="M138" i="4" s="1"/>
  <c r="G181" i="4"/>
  <c r="G188" i="4"/>
  <c r="J158" i="4" l="1"/>
  <c r="J153" i="4" s="1"/>
  <c r="J160" i="4" s="1"/>
  <c r="J163" i="4" s="1"/>
  <c r="O158" i="4"/>
  <c r="O153" i="4" s="1"/>
  <c r="O160" i="4" s="1"/>
  <c r="O163" i="4" s="1"/>
  <c r="K158" i="4"/>
  <c r="K153" i="4" s="1"/>
  <c r="K160" i="4" s="1"/>
  <c r="K163" i="4" s="1"/>
  <c r="T158" i="4"/>
  <c r="T153" i="4" s="1"/>
  <c r="I158" i="4"/>
  <c r="I153" i="4" s="1"/>
  <c r="I160" i="4" s="1"/>
  <c r="I163" i="4" s="1"/>
  <c r="S158" i="4"/>
  <c r="S153" i="4" s="1"/>
  <c r="M158" i="4"/>
  <c r="M153" i="4" s="1"/>
  <c r="M160" i="4" s="1"/>
  <c r="M163" i="4" s="1"/>
  <c r="P158" i="4"/>
  <c r="P153" i="4" s="1"/>
  <c r="P160" i="4" s="1"/>
  <c r="P163" i="4" s="1"/>
  <c r="G4" i="4"/>
  <c r="AM56" i="4"/>
  <c r="AM53" i="4" s="1"/>
  <c r="AM160" i="4" s="1"/>
  <c r="AM163" i="4" s="1"/>
  <c r="G59" i="4"/>
  <c r="F59" i="4" s="1"/>
  <c r="F56" i="4" s="1"/>
  <c r="F53" i="4" s="1"/>
  <c r="H158" i="4" l="1"/>
  <c r="H153" i="4" s="1"/>
  <c r="G56" i="4"/>
  <c r="AC138" i="4"/>
  <c r="G148" i="4"/>
  <c r="F148" i="4" s="1"/>
  <c r="AC160" i="4" l="1"/>
  <c r="AC163" i="4" s="1"/>
  <c r="G162" i="4" s="1"/>
  <c r="F162" i="4" s="1"/>
  <c r="G137" i="4"/>
  <c r="G53" i="4"/>
  <c r="X138" i="4"/>
  <c r="X160" i="4" s="1"/>
  <c r="X163" i="4" s="1"/>
  <c r="G149" i="4"/>
  <c r="F149" i="4" s="1"/>
  <c r="F137" i="4" l="1"/>
  <c r="F135" i="4" s="1"/>
  <c r="F94" i="4" s="1"/>
  <c r="G135" i="4"/>
  <c r="G94" i="4" s="1"/>
  <c r="U158" i="4"/>
  <c r="U153" i="4" s="1"/>
  <c r="AU147" i="4"/>
  <c r="AU138" i="4" s="1"/>
  <c r="G159" i="4" l="1"/>
  <c r="AU158" i="4"/>
  <c r="AU153" i="4" s="1"/>
  <c r="AU160" i="4" s="1"/>
  <c r="AU163" i="4" s="1"/>
  <c r="G158" i="4" l="1"/>
  <c r="G153" i="4" l="1"/>
  <c r="G152" i="4"/>
  <c r="H147" i="4"/>
  <c r="H138" i="4" s="1"/>
  <c r="H160" i="4" s="1"/>
  <c r="H163" i="4" s="1"/>
  <c r="F152" i="4" l="1"/>
  <c r="E188" i="4"/>
  <c r="F183" i="4"/>
  <c r="F188" i="4" s="1"/>
  <c r="R97" i="4"/>
  <c r="R95" i="4"/>
  <c r="S97" i="4"/>
  <c r="R96" i="4"/>
  <c r="T95" i="4"/>
  <c r="T97" i="4"/>
  <c r="U95" i="4"/>
  <c r="T96" i="4"/>
  <c r="U97" i="4"/>
  <c r="U96" i="4"/>
  <c r="S95" i="4"/>
  <c r="S96" i="4"/>
  <c r="R94" i="4" l="1"/>
  <c r="R160" i="4" s="1"/>
  <c r="R163" i="4" s="1"/>
  <c r="S94" i="4"/>
  <c r="S151" i="4" s="1"/>
  <c r="U94" i="4"/>
  <c r="U151" i="4" s="1"/>
  <c r="T94" i="4"/>
  <c r="T151" i="4" s="1"/>
  <c r="S147" i="4" l="1"/>
  <c r="S138" i="4" s="1"/>
  <c r="S160" i="4" s="1"/>
  <c r="S163" i="4" s="1"/>
  <c r="U147" i="4"/>
  <c r="U138" i="4" s="1"/>
  <c r="U160" i="4" s="1"/>
  <c r="U163" i="4" s="1"/>
  <c r="T147" i="4"/>
  <c r="T138" i="4" s="1"/>
  <c r="T160" i="4" s="1"/>
  <c r="T163" i="4" s="1"/>
  <c r="G151" i="4" l="1"/>
  <c r="F151" i="4" s="1"/>
  <c r="F147" i="4" s="1"/>
  <c r="F138" i="4" s="1"/>
  <c r="F160" i="4" s="1"/>
  <c r="F163" i="4" s="1"/>
  <c r="G147" i="4" l="1"/>
  <c r="G138" i="4" s="1"/>
  <c r="G160" i="4" s="1"/>
  <c r="G163" i="4" s="1"/>
</calcChain>
</file>

<file path=xl/comments1.xml><?xml version="1.0" encoding="utf-8"?>
<comments xmlns="http://schemas.openxmlformats.org/spreadsheetml/2006/main">
  <authors>
    <author>Windows User</author>
    <author>Petrovae</author>
    <author>Никола Павлов</author>
    <author>DBoyadzhieva</author>
  </authors>
  <commentList>
    <comment ref="Z33" authorId="0" shapeId="0">
      <text>
        <r>
          <rPr>
            <b/>
            <sz val="9"/>
            <color indexed="81"/>
            <rFont val="Tahoma"/>
            <family val="2"/>
            <charset val="204"/>
          </rPr>
          <t>Windows User:</t>
        </r>
        <r>
          <rPr>
            <sz val="9"/>
            <color indexed="81"/>
            <rFont val="Tahoma"/>
            <family val="2"/>
            <charset val="204"/>
          </rPr>
          <t xml:space="preserve">
55 000 са от наематели само от тях да има отчисления</t>
        </r>
      </text>
    </comment>
    <comment ref="AM55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допълнителни възнаграждения за ръководни функции на ректор, зам.-ректори, председател на ОС, зам.председател на ОС, председател на КС и омбудсман</t>
        </r>
      </text>
    </comment>
    <comment ref="L69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в т.ч. Практическо обучение на специализанти</t>
        </r>
      </text>
    </comment>
    <comment ref="AM72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пмс 44 - дългосрочни</t>
        </r>
      </text>
    </comment>
    <comment ref="C75" authorId="2" shape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C76" authorId="3" shape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AU88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доклад 70-55-13</t>
        </r>
      </text>
    </comment>
    <comment ref="BB126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ще се удържат от МОН</t>
        </r>
      </text>
    </comment>
    <comment ref="Y133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по ПМС 103</t>
        </r>
      </text>
    </comment>
    <comment ref="AM133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от МОН за командировки и стипендии</t>
        </r>
      </text>
    </comment>
    <comment ref="AS133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500 000 логистика, 400 000 наука, 800 пътна карта</t>
        </r>
      </text>
    </comment>
    <comment ref="AX133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по реш. На АС от 18.12.2020</t>
        </r>
      </text>
    </comment>
    <comment ref="L134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към болница Лозенец</t>
        </r>
      </text>
    </comment>
    <comment ref="AS134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за Кораба по НПК</t>
        </r>
      </text>
    </comment>
    <comment ref="AU134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по реш. На АС от 18.12.2020</t>
        </r>
      </text>
    </comment>
    <comment ref="Z146" authorId="0" shapeId="0">
      <text>
        <r>
          <rPr>
            <b/>
            <sz val="9"/>
            <color indexed="81"/>
            <rFont val="Tahoma"/>
            <family val="2"/>
            <charset val="204"/>
          </rPr>
          <t>Windows User:</t>
        </r>
        <r>
          <rPr>
            <sz val="9"/>
            <color indexed="81"/>
            <rFont val="Tahoma"/>
            <family val="2"/>
            <charset val="204"/>
          </rPr>
          <t xml:space="preserve">
отчисления без приходите от наеми в общежитието</t>
        </r>
      </text>
    </comment>
    <comment ref="C150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пълният размер на отчисления за факултетите без преходен остатък от предходната година</t>
        </r>
      </text>
    </comment>
    <comment ref="C151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19% ОТ ГОДИШНИЯ ДЕФИЦИТ НА ФАКУЛТЕТИТЕ БЕЗ ПРЕХОДЕН ОСТАТЪК</t>
        </r>
      </text>
    </comment>
    <comment ref="BB157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за възстановяване от МОН</t>
        </r>
      </text>
    </comment>
    <comment ref="C162" authorId="1" shapeId="0">
      <text>
        <r>
          <rPr>
            <b/>
            <sz val="9"/>
            <color indexed="81"/>
            <rFont val="Tahoma"/>
            <family val="2"/>
            <charset val="204"/>
          </rPr>
          <t>Petrovae:
посочени са остатъците към 01.01.2019 г.
Преходните остатъци към 31.12.2019 г. ще се попълнят след приемането на отчета по звена за 2019</t>
        </r>
      </text>
    </comment>
  </commentList>
</comments>
</file>

<file path=xl/sharedStrings.xml><?xml version="1.0" encoding="utf-8"?>
<sst xmlns="http://schemas.openxmlformats.org/spreadsheetml/2006/main" count="400" uniqueCount="283">
  <si>
    <t>§§</t>
  </si>
  <si>
    <t xml:space="preserve"> трансфер от ДБ за стипендии</t>
  </si>
  <si>
    <t xml:space="preserve"> трансфер от ДБ за леглодни и хранодни</t>
  </si>
  <si>
    <t xml:space="preserve"> трансфер от ДБ за капиталови разходи - основни ремонти, придобиване на ДМА и НДМА</t>
  </si>
  <si>
    <t>Трансфери между бюджети (нето)</t>
  </si>
  <si>
    <t xml:space="preserve">     - приходи от такси за кандидатстване</t>
  </si>
  <si>
    <t>Приходи от кандидатстудентска кампания - бакалавър</t>
  </si>
  <si>
    <t>Приходи от кандидатстудентска кампания - магистър</t>
  </si>
  <si>
    <t>Приходи от кандидатдокторантска кампания</t>
  </si>
  <si>
    <t xml:space="preserve">     - приходи от други образователни дейности</t>
  </si>
  <si>
    <t xml:space="preserve">Приходи от административни и услуги, свързани с учебния процес </t>
  </si>
  <si>
    <t>Приходи от кандидатстудентски и други курсове и сертификати</t>
  </si>
  <si>
    <t>Приходи от следдипломна квалификация и индивидуална специализация</t>
  </si>
  <si>
    <t>Приходи от такси за обучение в подготвителните езикови курсове (ДЕО)</t>
  </si>
  <si>
    <t>Приходи от професионално-квалификационна дейност  (ДИУУ)</t>
  </si>
  <si>
    <t xml:space="preserve">     - приходи от продажби на услуги, стоки и продукция, в това число:</t>
  </si>
  <si>
    <t>приходи от печатна база, издателска дейност и разпространение, продажба на учебници, справочници и други</t>
  </si>
  <si>
    <t>стойност на закупена храна за столове, барчета, и др. ( попълва се със знак минус)</t>
  </si>
  <si>
    <t>45-00</t>
  </si>
  <si>
    <t>Разпределени към администратори от чужбина средства по международни програми и договори (-)</t>
  </si>
  <si>
    <t>Общо заети щатни бройки, в това число:</t>
  </si>
  <si>
    <t>научно-помощен персонал</t>
  </si>
  <si>
    <t>административен персонал</t>
  </si>
  <si>
    <t>помощен персонал</t>
  </si>
  <si>
    <t>брой доктори</t>
  </si>
  <si>
    <t>брой доктори на науките</t>
  </si>
  <si>
    <t>СБРЗ</t>
  </si>
  <si>
    <t>Съотношение брой преподаватели към брой непреподаватели</t>
  </si>
  <si>
    <t>Общ абсолютен брой учащи</t>
  </si>
  <si>
    <t>II. РАЗХОДИ - РЕКАПИТУЛАЦИЯ ПО ПАРАГРАФИ И ПОДПАРАГРАФИ</t>
  </si>
  <si>
    <t>под-§§</t>
  </si>
  <si>
    <t>Други възнаграждения и плащания за персонала</t>
  </si>
  <si>
    <t>Издръжка</t>
  </si>
  <si>
    <t>Храна</t>
  </si>
  <si>
    <t>Медикаменти</t>
  </si>
  <si>
    <t>Постелен инвентар и облекло</t>
  </si>
  <si>
    <t>Текущ ремонт</t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</si>
  <si>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</si>
  <si>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</si>
  <si>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</si>
  <si>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</si>
  <si>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Стипендии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</si>
  <si>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</si>
  <si>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</si>
  <si>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</si>
  <si>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</si>
  <si>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програмни продукти и лицензи за програмни продукти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</si>
  <si>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</si>
  <si>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</si>
  <si>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трансфери между бюджети - получени трансфери (+)</t>
  </si>
  <si>
    <t>трансфери между бюджети - предоставени трансфери (-)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</si>
  <si>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</si>
  <si>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</si>
  <si>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суми по разчети м/у бюджети, сметки и фондове за поети осигурителни вноски и данъци</t>
  </si>
  <si>
    <t>I. П Р И Х О Д И,  П О М О Щ И   И   Д А Р Е Н И Я</t>
  </si>
  <si>
    <t>Н А И М Е Н О В А Н И Е</t>
  </si>
  <si>
    <t>Приходи и доходи от собственост</t>
  </si>
  <si>
    <t>Глоби, санкции и наказателни лихви</t>
  </si>
  <si>
    <t>Други приходи</t>
  </si>
  <si>
    <t xml:space="preserve">Внесени ДДС и други данъци върху продажбите </t>
  </si>
  <si>
    <t>Помощи и дарения от страната</t>
  </si>
  <si>
    <t>Помощи и дарения от чужбина</t>
  </si>
  <si>
    <t>Заплати и възнаграждения за персонала, нает по трудови правоотношения</t>
  </si>
  <si>
    <t xml:space="preserve"> други трансфери от ДБ</t>
  </si>
  <si>
    <t xml:space="preserve"> трансфер от ДБ за научна дейност (65%), издаване на учебници и научни трудове (35%)</t>
  </si>
  <si>
    <t>Предоставени текущи и капиталови трансфери за чужбина</t>
  </si>
  <si>
    <t>Трансфери между сметки за средствата от ЕС (нето)</t>
  </si>
  <si>
    <t>- получени трансфери (+)</t>
  </si>
  <si>
    <t>- предоставени трансфери (-)</t>
  </si>
  <si>
    <r>
      <t xml:space="preserve">нетни приходи от продажби на </t>
    </r>
    <r>
      <rPr>
        <b/>
        <i/>
        <sz val="12"/>
        <rFont val="Times New Roman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</si>
  <si>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"/>
        <family val="1"/>
        <charset val="204"/>
      </rPr>
      <t>други лихви</t>
    </r>
  </si>
  <si>
    <r>
      <t>глоби</t>
    </r>
    <r>
      <rPr>
        <sz val="12"/>
        <rFont val="Times New Roman"/>
        <family val="1"/>
        <charset val="204"/>
      </rPr>
      <t>,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санкции, неустойки, наказателни лихви, обезщетения и начети</t>
    </r>
  </si>
  <si>
    <r>
      <t>получени</t>
    </r>
    <r>
      <rPr>
        <b/>
        <i/>
        <sz val="12"/>
        <rFont val="Times New Roman"/>
        <family val="1"/>
        <charset val="204"/>
      </rPr>
      <t xml:space="preserve"> застрахователни обезщетения за ДМА</t>
    </r>
  </si>
  <si>
    <r>
      <t>други</t>
    </r>
    <r>
      <rPr>
        <sz val="12"/>
        <rFont val="Times New Roman"/>
        <family val="1"/>
        <charset val="204"/>
      </rPr>
      <t xml:space="preserve"> неданъчни приходи</t>
    </r>
  </si>
  <si>
    <r>
      <t>текущи</t>
    </r>
    <r>
      <rPr>
        <sz val="12"/>
        <rFont val="Times New Roman"/>
        <family val="1"/>
        <charset val="204"/>
      </rPr>
      <t xml:space="preserve"> помощи и дарения </t>
    </r>
    <r>
      <rPr>
        <b/>
        <i/>
        <sz val="12"/>
        <rFont val="Times New Roman"/>
        <family val="1"/>
        <charset val="204"/>
      </rPr>
      <t>от страната</t>
    </r>
  </si>
  <si>
    <r>
      <rPr>
        <b/>
        <i/>
        <sz val="12"/>
        <rFont val="Times New Roman"/>
        <family val="1"/>
        <charset val="204"/>
      </rPr>
      <t>текущи</t>
    </r>
    <r>
      <rPr>
        <sz val="12"/>
        <rFont val="Times New Roman"/>
        <family val="1"/>
        <charset val="204"/>
      </rPr>
      <t xml:space="preserve"> помощи и дарения от </t>
    </r>
    <r>
      <rPr>
        <b/>
        <i/>
        <sz val="12"/>
        <rFont val="Times New Roman"/>
        <family val="1"/>
        <charset val="204"/>
      </rPr>
      <t>Европейския съюз</t>
    </r>
  </si>
  <si>
    <r>
      <rPr>
        <b/>
        <i/>
        <sz val="12"/>
        <rFont val="Times New Roman"/>
        <family val="1"/>
        <charset val="204"/>
      </rPr>
      <t>текущи</t>
    </r>
    <r>
      <rPr>
        <sz val="12"/>
        <rFont val="Times New Roman"/>
        <family val="1"/>
        <charset val="204"/>
      </rPr>
      <t xml:space="preserve"> помощи и дарения от </t>
    </r>
    <r>
      <rPr>
        <b/>
        <i/>
        <sz val="12"/>
        <rFont val="Times New Roman"/>
        <family val="1"/>
        <charset val="204"/>
      </rPr>
      <t>други държави</t>
    </r>
  </si>
  <si>
    <r>
      <rPr>
        <b/>
        <i/>
        <sz val="12"/>
        <rFont val="Times New Roman"/>
        <family val="1"/>
        <charset val="204"/>
      </rPr>
      <t>текущи</t>
    </r>
    <r>
      <rPr>
        <sz val="12"/>
        <rFont val="Times New Roman"/>
        <family val="1"/>
        <charset val="204"/>
      </rPr>
      <t xml:space="preserve"> помощи и дарения от </t>
    </r>
    <r>
      <rPr>
        <b/>
        <i/>
        <sz val="12"/>
        <rFont val="Times New Roman"/>
        <family val="1"/>
        <charset val="204"/>
      </rPr>
      <t>други международни организации</t>
    </r>
  </si>
  <si>
    <r>
      <t xml:space="preserve">заплати и възнаграждения на персонала нает по </t>
    </r>
    <r>
      <rPr>
        <b/>
        <i/>
        <sz val="12"/>
        <rFont val="Times New Roman"/>
        <family val="1"/>
        <charset val="204"/>
      </rPr>
      <t>трудови правоотношения</t>
    </r>
  </si>
  <si>
    <r>
      <t xml:space="preserve">за </t>
    </r>
    <r>
      <rPr>
        <b/>
        <i/>
        <sz val="12"/>
        <rFont val="Times New Roman"/>
        <family val="1"/>
        <charset val="204"/>
      </rPr>
      <t>нещатен</t>
    </r>
    <r>
      <rPr>
        <sz val="12"/>
        <rFont val="Times New Roman"/>
        <family val="1"/>
        <charset val="204"/>
      </rPr>
      <t xml:space="preserve"> персонал нает по </t>
    </r>
    <r>
      <rPr>
        <b/>
        <i/>
        <sz val="12"/>
        <rFont val="Times New Roman"/>
        <family val="1"/>
        <charset val="204"/>
      </rPr>
      <t>трудови правоотношения</t>
    </r>
    <r>
      <rPr>
        <sz val="12"/>
        <rFont val="Times New Roman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</si>
  <si>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</si>
  <si>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"/>
        <family val="1"/>
        <charset val="204"/>
      </rPr>
      <t>СБКО за облекло и други</t>
    </r>
    <r>
      <rPr>
        <sz val="12"/>
        <rFont val="Times New Roman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</si>
  <si>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"/>
        <family val="1"/>
        <charset val="204"/>
      </rPr>
      <t xml:space="preserve"> за персонала, с характер на възнаграждение</t>
    </r>
  </si>
  <si>
    <r>
      <t xml:space="preserve">командировки </t>
    </r>
    <r>
      <rPr>
        <b/>
        <i/>
        <sz val="12"/>
        <rFont val="Times New Roman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</si>
  <si>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</si>
  <si>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"/>
        <family val="1"/>
        <charset val="204"/>
      </rPr>
      <t>застраховки</t>
    </r>
  </si>
  <si>
    <r>
      <t>други</t>
    </r>
    <r>
      <rPr>
        <sz val="12"/>
        <rFont val="Times New Roman"/>
        <family val="1"/>
        <charset val="204"/>
      </rPr>
      <t xml:space="preserve"> финансови услуги</t>
    </r>
  </si>
  <si>
    <r>
      <rPr>
        <sz val="12"/>
        <rFont val="Times New Roman"/>
        <family val="1"/>
        <charset val="204"/>
      </rPr>
      <t>платени</t>
    </r>
    <r>
      <rPr>
        <b/>
        <i/>
        <sz val="12"/>
        <rFont val="Times New Roman"/>
        <family val="1"/>
        <charset val="204"/>
      </rPr>
      <t xml:space="preserve"> държавни </t>
    </r>
    <r>
      <rPr>
        <sz val="12"/>
        <rFont val="Times New Roman"/>
        <family val="1"/>
        <charset val="204"/>
      </rPr>
      <t>данъци, такси, наказателни лихви и административни санкции</t>
    </r>
  </si>
  <si>
    <r>
      <rPr>
        <sz val="12"/>
        <rFont val="Times New Roman"/>
        <family val="1"/>
        <charset val="204"/>
      </rPr>
      <t xml:space="preserve">платени </t>
    </r>
    <r>
      <rPr>
        <b/>
        <i/>
        <sz val="12"/>
        <rFont val="Times New Roman"/>
        <family val="1"/>
        <charset val="204"/>
      </rPr>
      <t xml:space="preserve">общински </t>
    </r>
    <r>
      <rPr>
        <sz val="12"/>
        <rFont val="Times New Roman"/>
        <family val="1"/>
        <charset val="204"/>
      </rPr>
      <t>данъци, такси, наказателни лихви и административни санкции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</si>
  <si>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</si>
  <si>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</si>
  <si>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</si>
  <si>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</si>
  <si>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"/>
        <family val="1"/>
        <charset val="204"/>
      </rPr>
      <t>инфраструктурни обекти</t>
    </r>
  </si>
  <si>
    <t>III. ТРАНСФЕРИ</t>
  </si>
  <si>
    <t>VI. ГОДИШЕН ДЕФИЦИТ (-) / ИЗЛИШЪК (+)</t>
  </si>
  <si>
    <t>Приходи от процедури за публична защита на дисертационен труд за придобиване на ОНС „доктор”, други приходи в ОНС "доктор"</t>
  </si>
  <si>
    <t>ФКНФ</t>
  </si>
  <si>
    <t>ФФ</t>
  </si>
  <si>
    <t>ФП</t>
  </si>
  <si>
    <t>ФЖМК</t>
  </si>
  <si>
    <t>БФ</t>
  </si>
  <si>
    <t>ФзФ</t>
  </si>
  <si>
    <t>ФХФ</t>
  </si>
  <si>
    <t>ФМИ</t>
  </si>
  <si>
    <t>ДЕО</t>
  </si>
  <si>
    <t>ДИУУ</t>
  </si>
  <si>
    <t>Студентски съвет</t>
  </si>
  <si>
    <t>Университетска телевизия</t>
  </si>
  <si>
    <t>Университетско радио</t>
  </si>
  <si>
    <t>Университетски културен център</t>
  </si>
  <si>
    <t>Университетски музей</t>
  </si>
  <si>
    <t>Университетски театър Алма Алтер</t>
  </si>
  <si>
    <t>РЕКТОРАТ</t>
  </si>
  <si>
    <t>УЦИКТ</t>
  </si>
  <si>
    <t>УЦУК</t>
  </si>
  <si>
    <t>УЦДО</t>
  </si>
  <si>
    <t>УНБ "Проф. Цв. Бончев"</t>
  </si>
  <si>
    <t>ТД Китен</t>
  </si>
  <si>
    <t>УНБ Черноморец</t>
  </si>
  <si>
    <t>УНБ Синеморец</t>
  </si>
  <si>
    <t>ОНИПСЦ "Родопи" и УНБ Широка Поляна</t>
  </si>
  <si>
    <t>НЦПИ</t>
  </si>
  <si>
    <t>Институт КОНФУЦИЙ в София</t>
  </si>
  <si>
    <t>Поделение СБО</t>
  </si>
  <si>
    <t>УБГ София, Варна, Балчик</t>
  </si>
  <si>
    <t>научна дейност по Наредба на МОН</t>
  </si>
  <si>
    <t>НИС</t>
  </si>
  <si>
    <t>БгФ</t>
  </si>
  <si>
    <t>ГГФ</t>
  </si>
  <si>
    <t>ИФ</t>
  </si>
  <si>
    <t>МФ</t>
  </si>
  <si>
    <t>СФ</t>
  </si>
  <si>
    <t>ФСФ</t>
  </si>
  <si>
    <t>ЮФ</t>
  </si>
  <si>
    <t>ДС</t>
  </si>
  <si>
    <t>ЦСВП</t>
  </si>
  <si>
    <t>Трансфер от държавния бюджет за издръжка на обучението- бакалаври по базови нормативи</t>
  </si>
  <si>
    <t>Трансфер от държавния бюджет за издръжка на обучението- докторанти по базови нормативи</t>
  </si>
  <si>
    <t>Трансфер от държавния бюджет за издръжка на обучението- бакалаври по ПМС 328/2015</t>
  </si>
  <si>
    <t>Трансфер от ДБ за издръжка на обучението по чл. 91а, ал. 1 от ЗВО</t>
  </si>
  <si>
    <t>Академичен състав</t>
  </si>
  <si>
    <t>професор</t>
  </si>
  <si>
    <t>доцент</t>
  </si>
  <si>
    <t>главен асистент, старши преподавател</t>
  </si>
  <si>
    <t>асистент, преподавател</t>
  </si>
  <si>
    <t>Изследователи</t>
  </si>
  <si>
    <t>изследовател ниво 4</t>
  </si>
  <si>
    <t>изследовател ниво 3</t>
  </si>
  <si>
    <t>изследовател ниво 2</t>
  </si>
  <si>
    <t>изследовател ниво 1</t>
  </si>
  <si>
    <t>Непреподавателски състав</t>
  </si>
  <si>
    <t>Съотношение брой учащи към заети щатни бройки</t>
  </si>
  <si>
    <r>
      <t xml:space="preserve">приходи от </t>
    </r>
    <r>
      <rPr>
        <b/>
        <i/>
        <sz val="12"/>
        <rFont val="Times New Roman"/>
        <family val="1"/>
        <charset val="204"/>
      </rPr>
      <t>наеми на имущество (в т.ч. нощувки в общежития)</t>
    </r>
  </si>
  <si>
    <t>Задължителни осигурителни вноски от работодатели (19,02% / 15,82%)</t>
  </si>
  <si>
    <t>Университетска библиотека</t>
  </si>
  <si>
    <t>материали (канцеларски материали, консумативи и резервни части, хигиенни, строителни материали, презентационни, рекламни материали и сувенири и др.)</t>
  </si>
  <si>
    <t>Учебни и научно-изследователски разходи (учебни материали и помагала, химикали, стъклария, консумативи), книги за библиотеките (в т.ч. on line издания и др.)</t>
  </si>
  <si>
    <t>вода, горива и енергия (в т.ч. смазочни материали)</t>
  </si>
  <si>
    <r>
      <t xml:space="preserve">разходи за </t>
    </r>
    <r>
      <rPr>
        <b/>
        <i/>
        <sz val="12"/>
        <rFont val="Times New Roman"/>
        <family val="1"/>
        <charset val="204"/>
      </rPr>
      <t>външни услуги</t>
    </r>
    <r>
      <rPr>
        <sz val="12"/>
        <rFont val="Times New Roman"/>
        <family val="1"/>
        <charset val="204"/>
      </rPr>
      <t xml:space="preserve"> (телекомуникационни, пощенски, куриерски, копирни, рекламни, транспортни, консултантски, абонаменти, наеми, поддръжка и ремонт на техника и софтуер, експертизи, проучвания, изследвания, издателски, печатни, публикуване, други)</t>
    </r>
  </si>
  <si>
    <t>Отчисления от трансфери от ДБ за издръжка на обучението  - ОКС "бакалавър"</t>
  </si>
  <si>
    <t>Отчисления от трансфери от ДБ за издръжка на обучението- ОКС "магистър"</t>
  </si>
  <si>
    <t>Отчисления от трансфери от ДБ за издръжка на обучението  - ОНС "доктор"</t>
  </si>
  <si>
    <t>Трансфер от държавния бюджет за издръжка на обучението</t>
  </si>
  <si>
    <t>Финансиране на обучението по спорт- пропорционално на броя на учащите в ОКС "бакалавър", редовно обучение</t>
  </si>
  <si>
    <t>вътрешни отчисления, трансфери, компенсиране на дефицити</t>
  </si>
  <si>
    <t>отчисления</t>
  </si>
  <si>
    <r>
      <t>Общи разходи на СУ</t>
    </r>
    <r>
      <rPr>
        <sz val="12"/>
        <rFont val="Times New Roman"/>
        <family val="1"/>
        <charset val="204"/>
      </rPr>
      <t xml:space="preserve"> - местни данъци, такси, застраховки, СБКО, чл.внос, капиталови разходи, разчети с МОН за осигурителни вноски и данъци, стипендии на учащите по ПМС 90/2000 г…</t>
    </r>
  </si>
  <si>
    <t xml:space="preserve">     - приходи от такси и приходи от обучение съгл.  чл. 21, ал. 2, 3 и 5 от ЗВО</t>
  </si>
  <si>
    <t xml:space="preserve">приходи от др. услуги - научноизследователски, телевизия, радио, копирни, спортно-възстановителни и рехабилитационни центрове, библиотека, музеи, УБГ и др. </t>
  </si>
  <si>
    <t>Трансфер от ДБ за издръжка на обучението- докторанти  по ПМС 328/2015</t>
  </si>
  <si>
    <t>Отчисления от другите собствени приходи - по прил.1 от Правилника за бюджета</t>
  </si>
  <si>
    <t>Трансфер от държавния бюджет за издръжка на обучението-магистри по базови нормативи</t>
  </si>
  <si>
    <t>Трансфер от държавния бюджет за издръжка на обучението- магистри по ПМС 328/2015</t>
  </si>
  <si>
    <t>Трансфер от ДБ за издръжка на обучението по чл. 91, ал. 4 от ЗВО - "защитени специалности"</t>
  </si>
  <si>
    <t xml:space="preserve"> 0% - 25%</t>
  </si>
  <si>
    <t>Отчисления - до 25% съгласно чл. 90, ал. 4 от ЗВО</t>
  </si>
  <si>
    <t>Финансиране на звена и дейности в системата на Университета</t>
  </si>
  <si>
    <r>
      <t xml:space="preserve">внесен </t>
    </r>
    <r>
      <rPr>
        <b/>
        <i/>
        <sz val="12"/>
        <rFont val="Times New Roman"/>
        <family val="1"/>
        <charset val="204"/>
      </rPr>
      <t>ДДС</t>
    </r>
    <r>
      <rPr>
        <sz val="12"/>
        <rFont val="Times New Roman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</si>
  <si>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"/>
        <family val="1"/>
        <charset val="204"/>
      </rPr>
      <t>данък върху приходите от стопанска дейност</t>
    </r>
    <r>
      <rPr>
        <sz val="12"/>
        <rFont val="Times New Roman"/>
        <family val="1"/>
        <charset val="204"/>
      </rPr>
      <t xml:space="preserve"> на бюджетните предприятия (-)</t>
    </r>
  </si>
  <si>
    <r>
      <t xml:space="preserve">разпределени към чужбина текущи трансфери по </t>
    </r>
    <r>
      <rPr>
        <b/>
        <i/>
        <sz val="12"/>
        <rFont val="Times New Roman"/>
        <family val="1"/>
        <charset val="204"/>
      </rPr>
      <t>програми на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Европейския съюз</t>
    </r>
  </si>
  <si>
    <r>
      <t xml:space="preserve">разпределени към чужбина текущи трансфери по </t>
    </r>
    <r>
      <rPr>
        <b/>
        <i/>
        <sz val="12"/>
        <rFont val="Times New Roman"/>
        <family val="1"/>
        <charset val="204"/>
      </rPr>
      <t>програми на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други държави</t>
    </r>
  </si>
  <si>
    <r>
      <t xml:space="preserve">разпределени към чужбина текущи трансфери по </t>
    </r>
    <r>
      <rPr>
        <b/>
        <i/>
        <sz val="12"/>
        <rFont val="Times New Roman"/>
        <family val="1"/>
        <charset val="204"/>
      </rPr>
      <t>програми на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други международни организации</t>
    </r>
  </si>
  <si>
    <r>
      <t xml:space="preserve">Друго финансиране - </t>
    </r>
    <r>
      <rPr>
        <b/>
        <i/>
        <sz val="12"/>
        <rFont val="Times New Roman"/>
        <family val="1"/>
        <charset val="204"/>
      </rPr>
      <t>нето</t>
    </r>
    <r>
      <rPr>
        <sz val="12"/>
        <rFont val="Times New Roman"/>
        <family val="1"/>
        <charset val="204"/>
      </rPr>
      <t>(</t>
    </r>
    <r>
      <rPr>
        <b/>
        <sz val="12"/>
        <rFont val="Times New Roman"/>
        <family val="1"/>
        <charset val="204"/>
      </rPr>
      <t>+/-</t>
    </r>
    <r>
      <rPr>
        <sz val="12"/>
        <rFont val="Times New Roman"/>
        <family val="1"/>
        <charset val="204"/>
      </rPr>
      <t>)</t>
    </r>
  </si>
  <si>
    <r>
      <t xml:space="preserve">Депозити и средства по сметки - </t>
    </r>
    <r>
      <rPr>
        <b/>
        <i/>
        <sz val="16"/>
        <rFont val="Times New Roman"/>
        <family val="1"/>
        <charset val="204"/>
      </rPr>
      <t>нето</t>
    </r>
    <r>
      <rPr>
        <b/>
        <sz val="16"/>
        <rFont val="Times New Roman"/>
        <family val="1"/>
        <charset val="204"/>
      </rPr>
      <t xml:space="preserve"> (+/-)   </t>
    </r>
  </si>
  <si>
    <t>ФНОИ</t>
  </si>
  <si>
    <t>ОКС "бакалавър" и ОКС "магистър" след средно образование</t>
  </si>
  <si>
    <t>ОКС "магистър" след друга ОКС</t>
  </si>
  <si>
    <t>ОНС "доктор"</t>
  </si>
  <si>
    <t>Финансиране на обслужващи звена за сметка на отчисленията</t>
  </si>
  <si>
    <t>V. ДРУГО ФИНАНСИРАНЕ</t>
  </si>
  <si>
    <t>IV. ОТЧИСЛЕНИЯ И ФИНАНСИРАНЕ МЕЖДУ ЗВЕНАТА В СУ</t>
  </si>
  <si>
    <t>Финансиране на дейността на Студентския съвет по чл. 72, ал. 5 от ЗВО и Правилника за бюджета- 1,3% от приходите</t>
  </si>
  <si>
    <r>
      <t>наличност</t>
    </r>
    <r>
      <rPr>
        <sz val="16"/>
        <rFont val="Times New Roman"/>
        <family val="1"/>
        <charset val="204"/>
      </rPr>
      <t xml:space="preserve"> в </t>
    </r>
    <r>
      <rPr>
        <i/>
        <sz val="16"/>
        <rFont val="Times New Roman"/>
        <family val="1"/>
        <charset val="204"/>
      </rPr>
      <t>края на периода</t>
    </r>
    <r>
      <rPr>
        <sz val="16"/>
        <rFont val="Times New Roman"/>
        <family val="1"/>
        <charset val="204"/>
      </rPr>
      <t xml:space="preserve"> (+/-) </t>
    </r>
  </si>
  <si>
    <t>средства за издръжка на обучението на студенти / докторанти над СУСИ</t>
  </si>
  <si>
    <t>Приходи от такси за обучение на студенти и приходи от обучение съгласно разпоредбите на чл. 21, ал. 3 от ЗВО - ОКС "магистър"</t>
  </si>
  <si>
    <t>Приходи от такси за обучение и приходи от обучение съгласно разпоредбите на чл. 21, ал. 5 от ЗВО - ОНС "доктор"</t>
  </si>
  <si>
    <t>Отчисления от такси за обучение и от приходи от обучение съгласно чл. 21, ал. 2 от ЗВО - ОКС "бакалавър"</t>
  </si>
  <si>
    <t>Отчисления от такси за обучение и от приходи от обучение съгласно чл. 21, ал. 3 от ЗВО - ОКС "магистър"</t>
  </si>
  <si>
    <t>Отчисления от такси за обучение и от приходи от обучение съгласно чл. 21, ал. 5 от ЗВО - ОНС "доктор"</t>
  </si>
  <si>
    <r>
      <t>остатък</t>
    </r>
    <r>
      <rPr>
        <sz val="16"/>
        <color rgb="FF0000FF"/>
        <rFont val="Times New Roman"/>
        <family val="1"/>
        <charset val="204"/>
      </rPr>
      <t xml:space="preserve"> от</t>
    </r>
    <r>
      <rPr>
        <b/>
        <i/>
        <sz val="16"/>
        <color rgb="FF0000FF"/>
        <rFont val="Times New Roman"/>
        <family val="1"/>
        <charset val="204"/>
      </rPr>
      <t xml:space="preserve"> предходния период</t>
    </r>
    <r>
      <rPr>
        <sz val="16"/>
        <color rgb="FF0000FF"/>
        <rFont val="Times New Roman"/>
        <family val="1"/>
        <charset val="204"/>
      </rPr>
      <t xml:space="preserve"> (+)</t>
    </r>
  </si>
  <si>
    <t>за разпределение</t>
  </si>
  <si>
    <t>остатък / недостиг</t>
  </si>
  <si>
    <t>УИП</t>
  </si>
  <si>
    <t>приходи от столове, барчета и бюфети; приходи от нощувки в УНБ</t>
  </si>
  <si>
    <t>Финансиране на факултети за сметка на отчисленията от собствения факултет</t>
  </si>
  <si>
    <t>Финансиране на факултети за сметка на отчисленията от други факултети</t>
  </si>
  <si>
    <t>Приходи от такси за обучение на студенти и приходи от обучение съгласно разпоредбите на чл. 21, ал. 2 от ЗВО - ОКС "бакалавър", в т.ч.:</t>
  </si>
  <si>
    <r>
      <rPr>
        <i/>
        <u/>
        <sz val="12"/>
        <color rgb="FF0000FF"/>
        <rFont val="Times New Roman"/>
        <family val="1"/>
        <charset val="204"/>
      </rPr>
      <t>от</t>
    </r>
    <r>
      <rPr>
        <i/>
        <sz val="12"/>
        <color rgb="FF0000FF"/>
        <rFont val="Times New Roman"/>
        <family val="1"/>
        <charset val="204"/>
      </rPr>
      <t xml:space="preserve"> други факултети по Методиката на МОН - участие в изпълнението на чужди учебни планове</t>
    </r>
  </si>
  <si>
    <t>за всички студенти във факултета</t>
  </si>
  <si>
    <t>бюджет СУ 2021</t>
  </si>
  <si>
    <r>
      <t xml:space="preserve">от тях прехвърляте </t>
    </r>
    <r>
      <rPr>
        <i/>
        <u/>
        <sz val="12"/>
        <rFont val="Times New Roman"/>
        <family val="1"/>
        <charset val="204"/>
      </rPr>
      <t>към</t>
    </r>
    <r>
      <rPr>
        <i/>
        <sz val="12"/>
        <rFont val="Times New Roman"/>
        <family val="1"/>
        <charset val="204"/>
      </rPr>
      <t xml:space="preserve"> други факултети по Методиката на МОН - участие на преподаватели от други факултети в изпълнението на учебните планове</t>
    </r>
  </si>
  <si>
    <r>
      <rPr>
        <i/>
        <u/>
        <sz val="12"/>
        <rFont val="Times New Roman"/>
        <family val="1"/>
        <charset val="204"/>
      </rPr>
      <t>от тях: към</t>
    </r>
    <r>
      <rPr>
        <i/>
        <sz val="12"/>
        <rFont val="Times New Roman"/>
        <family val="1"/>
        <charset val="204"/>
      </rPr>
      <t xml:space="preserve"> други факултети по Методиката на МОН - участие на преподаватели от други факултети в изпълнението на учебните планове</t>
    </r>
  </si>
  <si>
    <t>Трансфер от ДБ по чл. 105 от ЗДБРБ за 2021 г. - за увеличаване на заплатите</t>
  </si>
  <si>
    <t>Трансфер от държавния бюджет по чл. 91, ал. 4, т. 2 от ЗВО - компенсиране на разходите за освобождаване от такси, извършено по реда на чл. 95, ал. 7, т. 8 - ОКС "бакалавър"</t>
  </si>
  <si>
    <t>Трансфер от държавния бюджет по чл. 91, ал. 4, т. 2 от ЗВО - компенсиране на разходите за освобождаване от такси, извършено по реда на чл. 95, ал. 7, т. 8 - ОКС "магистър"</t>
  </si>
  <si>
    <t>Научноизследователска и изпитваща лаборатория в спорта</t>
  </si>
  <si>
    <t>общ брой студенти в ОКС "бакалавър", редовно обучение - за спорт</t>
  </si>
  <si>
    <t>ЮФ - завещание -661 317,26 щ.д.</t>
  </si>
  <si>
    <r>
      <t>текущи</t>
    </r>
    <r>
      <rPr>
        <b/>
        <sz val="12"/>
        <rFont val="Times New Roman"/>
        <family val="1"/>
        <charset val="204"/>
      </rPr>
      <t xml:space="preserve"> трансфери за чужбина</t>
    </r>
  </si>
  <si>
    <t>СПРАВКА</t>
  </si>
  <si>
    <t>ЗА ПЕРСОНАЛА В СУ "СВ. КЛИМЕНТ ОХРИДСКИ"</t>
  </si>
  <si>
    <t>ЗАЕТИ ЩАТНИ БРОЙКИ КЪМ 01.01.2021 г.</t>
  </si>
  <si>
    <t>№</t>
  </si>
  <si>
    <t>Факултет, звено</t>
  </si>
  <si>
    <r>
      <t xml:space="preserve">всичко </t>
    </r>
    <r>
      <rPr>
        <b/>
        <sz val="14"/>
        <color indexed="10"/>
        <rFont val="Times New Roman"/>
        <family val="1"/>
        <charset val="204"/>
      </rPr>
      <t>ЗАЕТИ</t>
    </r>
    <r>
      <rPr>
        <b/>
        <sz val="14"/>
        <rFont val="Times New Roman"/>
        <family val="1"/>
        <charset val="204"/>
      </rPr>
      <t xml:space="preserve"> щатни бройки</t>
    </r>
  </si>
  <si>
    <t xml:space="preserve">брой доктори </t>
  </si>
  <si>
    <t>брой преподаватели общо, в т.ч.:</t>
  </si>
  <si>
    <t>брой изследователи общо, в т.ч.:</t>
  </si>
  <si>
    <t>брой непреподаватели общо, в т.ч.:</t>
  </si>
  <si>
    <t>в това число административен персонал</t>
  </si>
  <si>
    <t>в това число научно - помощен персонал</t>
  </si>
  <si>
    <t>в това число помощен персонал</t>
  </si>
  <si>
    <t>О Б Щ О   З А   С У:</t>
  </si>
  <si>
    <t>ФАКУЛТЕТИ</t>
  </si>
  <si>
    <t>Богословски факултет</t>
  </si>
  <si>
    <t>Медицински факултет</t>
  </si>
  <si>
    <t>Медицински факултет в УБ Лозенец с 50% участие в преподавателската дейност</t>
  </si>
  <si>
    <t>Медицински факултет в УБ Лозенец с 25% участие в преподавателската дейност</t>
  </si>
  <si>
    <t>Стопански факултет и ЦОУ</t>
  </si>
  <si>
    <t>ФНПП</t>
  </si>
  <si>
    <t>ФСлФ</t>
  </si>
  <si>
    <t>ЮФ + УНБ Свети Влас</t>
  </si>
  <si>
    <t>ДЕПАРТАМЕНТИ</t>
  </si>
  <si>
    <t>Департамент Спорт</t>
  </si>
  <si>
    <t>ЦЕНТРОВЕ</t>
  </si>
  <si>
    <t>ЦСВП "Ив. Дуйчев"</t>
  </si>
  <si>
    <t>НАУЧНИ ЗВЕНА</t>
  </si>
  <si>
    <t>Научноизследователски сектор</t>
  </si>
  <si>
    <t>Научноизследователската и изпитваща лаборатория в спорта</t>
  </si>
  <si>
    <t>МЕДИИ, ИЗКУСТВО</t>
  </si>
  <si>
    <t>УЧЕБНО - НАУЧНИ БАЗИ</t>
  </si>
  <si>
    <t>ОНИПСЦ "Родопи" и Широка поляна</t>
  </si>
  <si>
    <t>Други ОБСЛУЖВАЩИ ЗВЕНА</t>
  </si>
  <si>
    <t>Ректорат</t>
  </si>
  <si>
    <t>ТРАНСФЕРИ ОТ ДБ ПО ЧЛ. 91 от ЗВО</t>
  </si>
  <si>
    <t>трансфери от ДБ за издръжка на обучението</t>
  </si>
  <si>
    <t>трансфери от ДБ за наука, издателски, капиталови разходи, социално-битови разходи</t>
  </si>
  <si>
    <t>други външни трансфери към / от СУ</t>
  </si>
  <si>
    <t>собствени приходи от такси и приходи от обучение съгл.  чл. 21, ал. 2, 3 и 5 от ЗВО</t>
  </si>
  <si>
    <t>други собствени приходи, помощи и дарения</t>
  </si>
  <si>
    <t>ВСИЧКО СОБСТВЕНИ ПРИХОДИ, ПОМОЩИ И ДАРЕНИЯ</t>
  </si>
  <si>
    <r>
      <t xml:space="preserve">отчисления от трансферите от ДБ за издръжка на обучението и от собствените приходи от такси и приходи от обучение съгл.  чл. 21, ал. 2, 3 и 5 от ЗВО- </t>
    </r>
    <r>
      <rPr>
        <b/>
        <u/>
        <sz val="10"/>
        <rFont val="Times New Roman"/>
        <family val="1"/>
        <charset val="204"/>
      </rPr>
      <t>по методиката</t>
    </r>
    <r>
      <rPr>
        <b/>
        <sz val="10"/>
        <rFont val="Times New Roman"/>
        <family val="1"/>
        <charset val="204"/>
      </rPr>
      <t xml:space="preserve"> (25%)</t>
    </r>
  </si>
  <si>
    <t>отчисления от другите собствените приходи съгласно Правилника за бюджета - приложение 1 (от 0% до 25%)</t>
  </si>
  <si>
    <t>ВСИЧКО ОТЧИСЛЕНИЯ</t>
  </si>
  <si>
    <t>ВСИЧКО ФИНАНСИРАНЕ</t>
  </si>
  <si>
    <t>други средства</t>
  </si>
  <si>
    <t>4=5+6</t>
  </si>
  <si>
    <t>10=8+9</t>
  </si>
  <si>
    <t>13=11+12</t>
  </si>
  <si>
    <t>ОБЩО ЗА СУ ЗА 2020</t>
  </si>
  <si>
    <t>ДРУГИ ОБСЛУЖВАЩИ ЗВЕНА</t>
  </si>
  <si>
    <t>НАУЧНИ ЗВЕНА И ДЕЙНОСТИ, ДР. ЦЕЛЕВИ СРЕДСТВА</t>
  </si>
  <si>
    <t>ОБЩИ РАЗХОДИ, ЦЕНТРАЛНА УНИВЕРСИТЕТСКА АДМИН.</t>
  </si>
  <si>
    <t>Общи разходи на СУ</t>
  </si>
  <si>
    <t xml:space="preserve">БЮДЖЕТ НА СУ СВ. КЛИМЕНТ ОХРИДСКИ" ЗА 2021 Г. , на основните структурни звена (факултети и департаменти) и приходите и разходите за издръжка на обслужващи звена </t>
  </si>
  <si>
    <t>наличност на 01.01.2021</t>
  </si>
  <si>
    <t>19=14+15+16+17+18</t>
  </si>
  <si>
    <t>Наличност в края на 2021 г.</t>
  </si>
  <si>
    <t>Излишък / недостиг на касова основа (приходи 2021 г.+ трансфери 2021 г. - разходи 2021 г.)</t>
  </si>
  <si>
    <t>(за сметка на 11 и 12)</t>
  </si>
  <si>
    <t>разходи 2021</t>
  </si>
  <si>
    <r>
      <t xml:space="preserve">взимате </t>
    </r>
    <r>
      <rPr>
        <i/>
        <u/>
        <sz val="12"/>
        <color rgb="FF0000CC"/>
        <rFont val="Times New Roman"/>
        <family val="1"/>
        <charset val="204"/>
      </rPr>
      <t>от</t>
    </r>
    <r>
      <rPr>
        <i/>
        <sz val="12"/>
        <color rgb="FF0000CC"/>
        <rFont val="Times New Roman"/>
        <family val="1"/>
        <charset val="204"/>
      </rPr>
      <t xml:space="preserve"> други факултети по Методиката на МОН - участие в изпълнението на чужди учебни планове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</si>
</sst>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лв.&quot;;\-#,##0\ &quot;лв.&quot;"/>
    <numFmt numFmtId="6" formatCode="#,##0\ &quot;лв.&quot;;[Red]\-#,##0\ &quot;лв.&quot;"/>
    <numFmt numFmtId="44" formatCode="_-* #,##0.00\ &quot;лв.&quot;_-;\-* #,##0.00\ &quot;лв.&quot;_-;_-* &quot;-&quot;??\ &quot;лв.&quot;_-;_-@_-"/>
    <numFmt numFmtId="164" formatCode="0#&quot;-&quot;0#"/>
    <numFmt numFmtId="165" formatCode="0.0"/>
    <numFmt numFmtId="166" formatCode="000"/>
    <numFmt numFmtId="167" formatCode="_-* #,##0\ &quot;лв.&quot;_-;\-* #,##0\ &quot;лв.&quot;_-;_-* &quot;-&quot;??\ &quot;лв.&quot;_-;_-@_-"/>
    <numFmt numFmtId="168" formatCode="0.0%"/>
    <numFmt numFmtId="169" formatCode="#,##0.0"/>
    <numFmt numFmtId="170" formatCode="#,##0_ ;[Red]\-#,##0\ "/>
    <numFmt numFmtId="171" formatCode="_-* #,##0.00\ &quot;лв&quot;_-;\-* #,##0.00\ &quot;лв&quot;_-;_-* &quot;-&quot;??\ &quot;лв&quot;_-;_-@_-"/>
    <numFmt numFmtId="172" formatCode="#,##0_ ;\-#,##0\ 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bar"/>
      <charset val="204"/>
    </font>
    <font>
      <sz val="10"/>
      <name val="Arial"/>
      <family val="2"/>
      <charset val="204"/>
    </font>
    <font>
      <sz val="10"/>
      <color indexed="8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i/>
      <sz val="16"/>
      <color rgb="FF0000FF"/>
      <name val="Times New Roman"/>
      <family val="1"/>
      <charset val="204"/>
    </font>
    <font>
      <b/>
      <i/>
      <sz val="16"/>
      <color rgb="FF0000FF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u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2"/>
      <color rgb="FF0000FF"/>
      <name val="Times New Roman"/>
      <family val="1"/>
      <charset val="204"/>
    </font>
    <font>
      <i/>
      <u/>
      <sz val="12"/>
      <color rgb="FF0000FF"/>
      <name val="Times New Roman"/>
      <family val="1"/>
      <charset val="204"/>
    </font>
    <font>
      <i/>
      <sz val="11"/>
      <color rgb="FF0000FF"/>
      <name val="Calibri"/>
      <family val="2"/>
      <charset val="204"/>
      <scheme val="minor"/>
    </font>
    <font>
      <b/>
      <sz val="12"/>
      <color rgb="FF0000CC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2"/>
      <color rgb="FF0000CC"/>
      <name val="Times New Roman"/>
      <family val="1"/>
      <charset val="204"/>
    </font>
    <font>
      <i/>
      <sz val="11"/>
      <color rgb="FF0000CC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23"/>
      </right>
      <top style="medium">
        <color indexed="64"/>
      </top>
      <bottom style="double">
        <color indexed="64"/>
      </bottom>
      <diagonal/>
    </border>
    <border>
      <left style="hair">
        <color indexed="23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23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23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hair">
        <color indexed="23"/>
      </right>
      <top style="hair">
        <color indexed="23"/>
      </top>
      <bottom style="medium">
        <color indexed="64"/>
      </bottom>
      <diagonal/>
    </border>
    <border>
      <left style="hair">
        <color indexed="23"/>
      </left>
      <right/>
      <top style="hair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4" fillId="0" borderId="0"/>
    <xf numFmtId="0" fontId="17" fillId="0" borderId="0"/>
    <xf numFmtId="44" fontId="2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380">
    <xf numFmtId="0" fontId="0" fillId="0" borderId="0" xfId="0"/>
    <xf numFmtId="0" fontId="6" fillId="0" borderId="1" xfId="3" quotePrefix="1" applyFont="1" applyFill="1" applyBorder="1" applyAlignment="1">
      <alignment horizontal="right" vertical="center"/>
    </xf>
    <xf numFmtId="164" fontId="9" fillId="0" borderId="1" xfId="3" quotePrefix="1" applyNumberFormat="1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left" vertical="center" wrapText="1"/>
    </xf>
    <xf numFmtId="164" fontId="8" fillId="0" borderId="1" xfId="3" quotePrefix="1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 applyProtection="1">
      <alignment horizontal="right" vertical="center"/>
    </xf>
    <xf numFmtId="164" fontId="8" fillId="0" borderId="1" xfId="3" quotePrefix="1" applyNumberFormat="1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left" vertical="center" wrapText="1"/>
    </xf>
    <xf numFmtId="164" fontId="6" fillId="0" borderId="1" xfId="3" quotePrefix="1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0" fontId="6" fillId="0" borderId="1" xfId="3" quotePrefix="1" applyFont="1" applyFill="1" applyBorder="1" applyAlignment="1" applyProtection="1">
      <alignment horizontal="center" vertical="center"/>
    </xf>
    <xf numFmtId="165" fontId="7" fillId="0" borderId="1" xfId="3" applyNumberFormat="1" applyFont="1" applyFill="1" applyBorder="1" applyAlignment="1" applyProtection="1">
      <alignment horizontal="right" vertical="center"/>
    </xf>
    <xf numFmtId="0" fontId="9" fillId="0" borderId="1" xfId="3" applyFont="1" applyFill="1" applyBorder="1" applyAlignment="1" applyProtection="1">
      <alignment vertical="center" wrapText="1"/>
    </xf>
    <xf numFmtId="0" fontId="7" fillId="0" borderId="1" xfId="3" applyFont="1" applyFill="1" applyBorder="1" applyAlignment="1">
      <alignment horizontal="right" vertical="center"/>
    </xf>
    <xf numFmtId="0" fontId="7" fillId="0" borderId="1" xfId="3" quotePrefix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>
      <alignment horizontal="left" vertical="center" wrapText="1"/>
    </xf>
    <xf numFmtId="3" fontId="7" fillId="0" borderId="1" xfId="3" applyNumberFormat="1" applyFont="1" applyFill="1" applyBorder="1" applyAlignment="1">
      <alignment horizontal="left" vertical="center" wrapText="1"/>
    </xf>
    <xf numFmtId="167" fontId="11" fillId="0" borderId="0" xfId="1" applyNumberFormat="1" applyFont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4" applyNumberFormat="1" applyFont="1" applyFill="1" applyBorder="1" applyAlignment="1" applyProtection="1">
      <alignment horizontal="right" vertical="center"/>
    </xf>
    <xf numFmtId="3" fontId="6" fillId="2" borderId="1" xfId="4" applyNumberFormat="1" applyFont="1" applyFill="1" applyBorder="1" applyAlignment="1" applyProtection="1">
      <alignment horizontal="right" vertical="center"/>
    </xf>
    <xf numFmtId="169" fontId="6" fillId="0" borderId="1" xfId="4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164" fontId="6" fillId="0" borderId="1" xfId="3" quotePrefix="1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 applyProtection="1">
      <alignment horizontal="left" vertical="center"/>
    </xf>
    <xf numFmtId="3" fontId="6" fillId="0" borderId="2" xfId="0" applyNumberFormat="1" applyFont="1" applyFill="1" applyBorder="1" applyAlignment="1" applyProtection="1">
      <alignment horizontal="left" vertical="center" wrapText="1"/>
    </xf>
    <xf numFmtId="3" fontId="6" fillId="0" borderId="2" xfId="4" applyNumberFormat="1" applyFont="1" applyFill="1" applyBorder="1" applyAlignment="1" applyProtection="1">
      <alignment horizontal="right" vertical="center"/>
    </xf>
    <xf numFmtId="0" fontId="7" fillId="3" borderId="0" xfId="5" applyFont="1" applyFill="1" applyBorder="1" applyAlignment="1">
      <alignment vertical="center"/>
    </xf>
    <xf numFmtId="166" fontId="7" fillId="3" borderId="0" xfId="5" applyNumberFormat="1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center" vertical="center" wrapText="1"/>
    </xf>
    <xf numFmtId="165" fontId="7" fillId="0" borderId="11" xfId="3" applyNumberFormat="1" applyFont="1" applyFill="1" applyBorder="1" applyAlignment="1" applyProtection="1">
      <alignment horizontal="right" vertical="center"/>
    </xf>
    <xf numFmtId="164" fontId="8" fillId="0" borderId="11" xfId="3" quotePrefix="1" applyNumberFormat="1" applyFont="1" applyFill="1" applyBorder="1" applyAlignment="1" applyProtection="1">
      <alignment horizontal="right" vertical="center"/>
    </xf>
    <xf numFmtId="0" fontId="7" fillId="0" borderId="11" xfId="3" applyFont="1" applyFill="1" applyBorder="1" applyAlignment="1" applyProtection="1">
      <alignment vertical="center" wrapText="1"/>
    </xf>
    <xf numFmtId="0" fontId="6" fillId="0" borderId="11" xfId="3" quotePrefix="1" applyFont="1" applyFill="1" applyBorder="1" applyAlignment="1">
      <alignment horizontal="right" vertical="center"/>
    </xf>
    <xf numFmtId="164" fontId="8" fillId="0" borderId="11" xfId="3" quotePrefix="1" applyNumberFormat="1" applyFont="1" applyFill="1" applyBorder="1" applyAlignment="1">
      <alignment horizontal="right" vertical="center"/>
    </xf>
    <xf numFmtId="0" fontId="7" fillId="0" borderId="11" xfId="3" quotePrefix="1" applyFont="1" applyFill="1" applyBorder="1" applyAlignment="1">
      <alignment vertical="center" wrapText="1"/>
    </xf>
    <xf numFmtId="0" fontId="10" fillId="0" borderId="8" xfId="0" quotePrefix="1" applyFont="1" applyFill="1" applyBorder="1" applyAlignment="1" applyProtection="1">
      <alignment horizontal="left" vertical="center"/>
    </xf>
    <xf numFmtId="0" fontId="10" fillId="0" borderId="9" xfId="5" quotePrefix="1" applyFont="1" applyFill="1" applyBorder="1" applyAlignment="1" applyProtection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 textRotation="90" wrapText="1"/>
    </xf>
    <xf numFmtId="0" fontId="6" fillId="0" borderId="24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vertical="center"/>
    </xf>
    <xf numFmtId="164" fontId="6" fillId="0" borderId="2" xfId="3" quotePrefix="1" applyNumberFormat="1" applyFont="1" applyFill="1" applyBorder="1" applyAlignment="1" applyProtection="1">
      <alignment horizontal="right" vertical="center"/>
    </xf>
    <xf numFmtId="0" fontId="6" fillId="0" borderId="2" xfId="3" quotePrefix="1" applyFont="1" applyFill="1" applyBorder="1" applyAlignment="1" applyProtection="1">
      <alignment horizontal="left" vertical="center"/>
    </xf>
    <xf numFmtId="0" fontId="19" fillId="0" borderId="0" xfId="0" applyFont="1" applyBorder="1" applyAlignment="1">
      <alignment vertical="center"/>
    </xf>
    <xf numFmtId="9" fontId="6" fillId="0" borderId="1" xfId="2" quotePrefix="1" applyFont="1" applyFill="1" applyBorder="1" applyAlignment="1">
      <alignment horizontal="center" vertical="center"/>
    </xf>
    <xf numFmtId="9" fontId="7" fillId="0" borderId="1" xfId="2" quotePrefix="1" applyFont="1" applyFill="1" applyBorder="1" applyAlignment="1">
      <alignment horizontal="center" vertical="center"/>
    </xf>
    <xf numFmtId="9" fontId="6" fillId="0" borderId="1" xfId="2" applyFont="1" applyFill="1" applyBorder="1" applyAlignment="1" applyProtection="1">
      <alignment horizontal="center" vertical="center"/>
    </xf>
    <xf numFmtId="9" fontId="6" fillId="0" borderId="1" xfId="2" quotePrefix="1" applyFont="1" applyFill="1" applyBorder="1" applyAlignment="1" applyProtection="1">
      <alignment horizontal="center" vertical="center" wrapText="1"/>
    </xf>
    <xf numFmtId="9" fontId="9" fillId="0" borderId="1" xfId="2" quotePrefix="1" applyFont="1" applyFill="1" applyBorder="1" applyAlignment="1" applyProtection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6" fillId="0" borderId="1" xfId="3" applyFont="1" applyFill="1" applyBorder="1" applyAlignment="1" applyProtection="1">
      <alignment horizontal="left" vertical="center" wrapText="1"/>
    </xf>
    <xf numFmtId="0" fontId="6" fillId="0" borderId="1" xfId="3" applyFont="1" applyFill="1" applyBorder="1" applyAlignment="1" applyProtection="1">
      <alignment vertical="center" wrapText="1"/>
    </xf>
    <xf numFmtId="0" fontId="6" fillId="0" borderId="11" xfId="3" applyFont="1" applyFill="1" applyBorder="1" applyAlignment="1" applyProtection="1">
      <alignment vertical="center" wrapText="1"/>
    </xf>
    <xf numFmtId="0" fontId="10" fillId="0" borderId="8" xfId="5" applyFont="1" applyFill="1" applyBorder="1" applyAlignment="1" applyProtection="1">
      <alignment horizontal="left" vertical="center"/>
    </xf>
    <xf numFmtId="0" fontId="12" fillId="0" borderId="9" xfId="5" applyFont="1" applyFill="1" applyBorder="1" applyAlignment="1" applyProtection="1">
      <alignment horizontal="center" vertical="center"/>
    </xf>
    <xf numFmtId="0" fontId="10" fillId="0" borderId="9" xfId="5" applyFont="1" applyFill="1" applyBorder="1" applyAlignment="1" applyProtection="1">
      <alignment horizontal="center" vertical="center"/>
    </xf>
    <xf numFmtId="0" fontId="10" fillId="0" borderId="9" xfId="5" applyFont="1" applyFill="1" applyBorder="1" applyAlignment="1" applyProtection="1">
      <alignment horizontal="center" vertical="center" wrapText="1"/>
    </xf>
    <xf numFmtId="164" fontId="6" fillId="0" borderId="2" xfId="3" quotePrefix="1" applyNumberFormat="1" applyFont="1" applyFill="1" applyBorder="1" applyAlignment="1">
      <alignment horizontal="right" vertical="center"/>
    </xf>
    <xf numFmtId="0" fontId="6" fillId="0" borderId="2" xfId="5" applyFont="1" applyFill="1" applyBorder="1" applyAlignment="1">
      <alignment horizontal="left" vertical="center" wrapText="1"/>
    </xf>
    <xf numFmtId="9" fontId="6" fillId="0" borderId="1" xfId="2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vertical="center" wrapText="1"/>
    </xf>
    <xf numFmtId="3" fontId="6" fillId="0" borderId="1" xfId="5" applyNumberFormat="1" applyFont="1" applyFill="1" applyBorder="1" applyAlignment="1" applyProtection="1">
      <alignment vertical="center"/>
    </xf>
    <xf numFmtId="3" fontId="6" fillId="0" borderId="1" xfId="5" applyNumberFormat="1" applyFont="1" applyFill="1" applyBorder="1" applyAlignment="1" applyProtection="1">
      <alignment horizontal="right" vertical="center"/>
      <protection locked="0"/>
    </xf>
    <xf numFmtId="3" fontId="6" fillId="0" borderId="11" xfId="5" applyNumberFormat="1" applyFont="1" applyFill="1" applyBorder="1" applyAlignment="1" applyProtection="1">
      <alignment horizontal="right" vertical="center"/>
      <protection locked="0"/>
    </xf>
    <xf numFmtId="3" fontId="6" fillId="0" borderId="2" xfId="5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/>
    </xf>
    <xf numFmtId="9" fontId="6" fillId="0" borderId="1" xfId="2" quotePrefix="1" applyFont="1" applyFill="1" applyBorder="1" applyAlignment="1">
      <alignment horizontal="center" vertical="center" wrapText="1"/>
    </xf>
    <xf numFmtId="168" fontId="6" fillId="0" borderId="1" xfId="2" quotePrefix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10" fillId="0" borderId="22" xfId="3" quotePrefix="1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3" fontId="8" fillId="0" borderId="1" xfId="0" applyNumberFormat="1" applyFont="1" applyFill="1" applyBorder="1" applyAlignment="1" applyProtection="1">
      <alignment horizontal="left" vertical="center" wrapText="1"/>
    </xf>
    <xf numFmtId="169" fontId="8" fillId="0" borderId="1" xfId="3" applyNumberFormat="1" applyFont="1" applyFill="1" applyBorder="1" applyAlignment="1">
      <alignment horizontal="left" vertical="center"/>
    </xf>
    <xf numFmtId="169" fontId="7" fillId="0" borderId="1" xfId="0" applyNumberFormat="1" applyFont="1" applyBorder="1" applyAlignment="1">
      <alignment vertical="center"/>
    </xf>
    <xf numFmtId="169" fontId="8" fillId="0" borderId="1" xfId="3" applyNumberFormat="1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3" fontId="8" fillId="0" borderId="1" xfId="3" applyNumberFormat="1" applyFont="1" applyFill="1" applyBorder="1" applyAlignment="1">
      <alignment horizontal="left" vertical="center" wrapText="1"/>
    </xf>
    <xf numFmtId="5" fontId="11" fillId="0" borderId="0" xfId="1" applyNumberFormat="1" applyFont="1" applyBorder="1" applyAlignment="1">
      <alignment vertical="center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7" xfId="1" applyNumberFormat="1" applyFont="1" applyFill="1" applyBorder="1" applyAlignment="1">
      <alignment horizontal="center" vertical="center" wrapText="1"/>
    </xf>
    <xf numFmtId="6" fontId="11" fillId="0" borderId="0" xfId="1" applyNumberFormat="1" applyFont="1" applyBorder="1" applyAlignment="1">
      <alignment vertical="center"/>
    </xf>
    <xf numFmtId="6" fontId="7" fillId="3" borderId="0" xfId="1" applyNumberFormat="1" applyFont="1" applyFill="1" applyBorder="1" applyAlignment="1">
      <alignment horizontal="left" vertical="center"/>
    </xf>
    <xf numFmtId="6" fontId="6" fillId="0" borderId="0" xfId="1" applyNumberFormat="1" applyFont="1" applyFill="1" applyBorder="1" applyAlignment="1">
      <alignment horizontal="center" vertical="center" wrapText="1"/>
    </xf>
    <xf numFmtId="6" fontId="7" fillId="0" borderId="14" xfId="1" applyNumberFormat="1" applyFont="1" applyFill="1" applyBorder="1" applyAlignment="1">
      <alignment horizontal="center" vertical="center" wrapText="1"/>
    </xf>
    <xf numFmtId="6" fontId="10" fillId="0" borderId="10" xfId="1" applyNumberFormat="1" applyFont="1" applyFill="1" applyBorder="1" applyAlignment="1">
      <alignment horizontal="right" vertical="center"/>
    </xf>
    <xf numFmtId="6" fontId="10" fillId="0" borderId="9" xfId="1" applyNumberFormat="1" applyFont="1" applyFill="1" applyBorder="1" applyAlignment="1">
      <alignment horizontal="right" vertical="center"/>
    </xf>
    <xf numFmtId="6" fontId="6" fillId="0" borderId="2" xfId="1" applyNumberFormat="1" applyFont="1" applyFill="1" applyBorder="1" applyAlignment="1">
      <alignment horizontal="right" vertical="center" wrapText="1"/>
    </xf>
    <xf numFmtId="6" fontId="6" fillId="0" borderId="1" xfId="4" applyNumberFormat="1" applyFont="1" applyFill="1" applyBorder="1" applyAlignment="1" applyProtection="1">
      <alignment horizontal="right" vertical="center"/>
    </xf>
    <xf numFmtId="6" fontId="7" fillId="2" borderId="1" xfId="1" applyNumberFormat="1" applyFont="1" applyFill="1" applyBorder="1" applyAlignment="1" applyProtection="1">
      <alignment horizontal="right" vertical="center"/>
      <protection locked="0"/>
    </xf>
    <xf numFmtId="6" fontId="7" fillId="2" borderId="11" xfId="1" applyNumberFormat="1" applyFont="1" applyFill="1" applyBorder="1" applyAlignment="1" applyProtection="1">
      <alignment horizontal="right" vertical="center"/>
      <protection locked="0"/>
    </xf>
    <xf numFmtId="6" fontId="6" fillId="0" borderId="2" xfId="4" applyNumberFormat="1" applyFont="1" applyFill="1" applyBorder="1" applyAlignment="1" applyProtection="1">
      <alignment horizontal="right" vertical="center"/>
    </xf>
    <xf numFmtId="6" fontId="10" fillId="0" borderId="10" xfId="4" applyNumberFormat="1" applyFont="1" applyFill="1" applyBorder="1" applyAlignment="1" applyProtection="1">
      <alignment horizontal="right" vertical="center"/>
    </xf>
    <xf numFmtId="6" fontId="10" fillId="0" borderId="9" xfId="4" applyNumberFormat="1" applyFont="1" applyFill="1" applyBorder="1" applyAlignment="1" applyProtection="1">
      <alignment horizontal="right" vertical="center"/>
    </xf>
    <xf numFmtId="6" fontId="10" fillId="0" borderId="10" xfId="1" applyNumberFormat="1" applyFont="1" applyFill="1" applyBorder="1" applyAlignment="1" applyProtection="1">
      <alignment horizontal="right" vertical="center" wrapText="1"/>
    </xf>
    <xf numFmtId="6" fontId="10" fillId="0" borderId="9" xfId="1" applyNumberFormat="1" applyFont="1" applyFill="1" applyBorder="1" applyAlignment="1" applyProtection="1">
      <alignment horizontal="right" vertical="center" wrapText="1"/>
    </xf>
    <xf numFmtId="6" fontId="12" fillId="0" borderId="23" xfId="1" applyNumberFormat="1" applyFont="1" applyFill="1" applyBorder="1" applyAlignment="1" applyProtection="1">
      <alignment horizontal="right" vertical="center"/>
    </xf>
    <xf numFmtId="6" fontId="12" fillId="0" borderId="2" xfId="1" applyNumberFormat="1" applyFont="1" applyFill="1" applyBorder="1" applyAlignment="1" applyProtection="1">
      <alignment horizontal="right" vertical="center"/>
    </xf>
    <xf numFmtId="170" fontId="7" fillId="2" borderId="1" xfId="1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vertical="center"/>
    </xf>
    <xf numFmtId="3" fontId="6" fillId="0" borderId="1" xfId="3" applyNumberFormat="1" applyFont="1" applyFill="1" applyBorder="1" applyAlignment="1">
      <alignment horizontal="left" vertical="center" wrapText="1"/>
    </xf>
    <xf numFmtId="170" fontId="6" fillId="2" borderId="1" xfId="1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2" borderId="1" xfId="4" applyNumberFormat="1" applyFont="1" applyFill="1" applyBorder="1" applyAlignment="1" applyProtection="1">
      <alignment horizontal="right" vertical="center"/>
    </xf>
    <xf numFmtId="170" fontId="6" fillId="0" borderId="2" xfId="4" applyNumberFormat="1" applyFont="1" applyFill="1" applyBorder="1" applyAlignment="1" applyProtection="1">
      <alignment horizontal="right" vertical="center"/>
    </xf>
    <xf numFmtId="170" fontId="6" fillId="0" borderId="1" xfId="4" applyNumberFormat="1" applyFont="1" applyFill="1" applyBorder="1" applyAlignment="1" applyProtection="1">
      <alignment horizontal="right" vertical="center"/>
    </xf>
    <xf numFmtId="167" fontId="6" fillId="0" borderId="1" xfId="1" applyNumberFormat="1" applyFont="1" applyFill="1" applyBorder="1" applyAlignment="1">
      <alignment vertical="center"/>
    </xf>
    <xf numFmtId="167" fontId="6" fillId="0" borderId="1" xfId="1" applyNumberFormat="1" applyFont="1" applyFill="1" applyBorder="1" applyAlignment="1" applyProtection="1">
      <alignment horizontal="right" vertical="center"/>
    </xf>
    <xf numFmtId="167" fontId="6" fillId="0" borderId="1" xfId="1" applyNumberFormat="1" applyFont="1" applyFill="1" applyBorder="1" applyAlignment="1" applyProtection="1">
      <alignment horizontal="left" vertical="center"/>
    </xf>
    <xf numFmtId="167" fontId="6" fillId="0" borderId="1" xfId="1" applyNumberFormat="1" applyFont="1" applyBorder="1" applyAlignment="1">
      <alignment vertical="center"/>
    </xf>
    <xf numFmtId="167" fontId="6" fillId="0" borderId="1" xfId="1" applyNumberFormat="1" applyFont="1" applyFill="1" applyBorder="1" applyAlignment="1" applyProtection="1">
      <alignment horizontal="left" vertical="center" wrapText="1"/>
    </xf>
    <xf numFmtId="167" fontId="19" fillId="0" borderId="0" xfId="1" applyNumberFormat="1" applyFont="1" applyBorder="1" applyAlignment="1">
      <alignment vertical="center"/>
    </xf>
    <xf numFmtId="0" fontId="6" fillId="0" borderId="1" xfId="3" quotePrefix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vertical="center"/>
    </xf>
    <xf numFmtId="168" fontId="6" fillId="0" borderId="11" xfId="2" quotePrefix="1" applyNumberFormat="1" applyFont="1" applyFill="1" applyBorder="1" applyAlignment="1">
      <alignment horizontal="center" vertical="center"/>
    </xf>
    <xf numFmtId="9" fontId="6" fillId="0" borderId="11" xfId="2" quotePrefix="1" applyFont="1" applyFill="1" applyBorder="1" applyAlignment="1">
      <alignment horizontal="center" vertical="center" wrapText="1"/>
    </xf>
    <xf numFmtId="164" fontId="10" fillId="0" borderId="20" xfId="3" quotePrefix="1" applyNumberFormat="1" applyFont="1" applyFill="1" applyBorder="1" applyAlignment="1">
      <alignment horizontal="right" vertical="center"/>
    </xf>
    <xf numFmtId="164" fontId="13" fillId="0" borderId="3" xfId="3" quotePrefix="1" applyNumberFormat="1" applyFont="1" applyFill="1" applyBorder="1" applyAlignment="1">
      <alignment horizontal="right" vertical="center"/>
    </xf>
    <xf numFmtId="0" fontId="13" fillId="0" borderId="3" xfId="3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left" vertical="center" wrapText="1"/>
    </xf>
    <xf numFmtId="6" fontId="7" fillId="0" borderId="21" xfId="1" applyNumberFormat="1" applyFont="1" applyFill="1" applyBorder="1" applyAlignment="1" applyProtection="1">
      <alignment horizontal="right" vertical="center"/>
      <protection locked="0"/>
    </xf>
    <xf numFmtId="6" fontId="7" fillId="0" borderId="3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vertical="center"/>
    </xf>
    <xf numFmtId="6" fontId="7" fillId="4" borderId="1" xfId="1" applyNumberFormat="1" applyFont="1" applyFill="1" applyBorder="1" applyAlignment="1" applyProtection="1">
      <alignment horizontal="right" vertical="center"/>
      <protection locked="0"/>
    </xf>
    <xf numFmtId="6" fontId="7" fillId="4" borderId="11" xfId="1" applyNumberFormat="1" applyFont="1" applyFill="1" applyBorder="1" applyAlignment="1" applyProtection="1">
      <alignment horizontal="right" vertical="center"/>
      <protection locked="0"/>
    </xf>
    <xf numFmtId="164" fontId="23" fillId="0" borderId="1" xfId="3" quotePrefix="1" applyNumberFormat="1" applyFont="1" applyFill="1" applyBorder="1" applyAlignment="1">
      <alignment horizontal="right" vertical="center"/>
    </xf>
    <xf numFmtId="0" fontId="24" fillId="0" borderId="1" xfId="3" applyFont="1" applyFill="1" applyBorder="1" applyAlignment="1">
      <alignment horizontal="left" vertical="center" wrapText="1"/>
    </xf>
    <xf numFmtId="6" fontId="26" fillId="2" borderId="1" xfId="1" applyNumberFormat="1" applyFont="1" applyFill="1" applyBorder="1" applyAlignment="1" applyProtection="1">
      <alignment horizontal="right" vertical="center"/>
      <protection locked="0"/>
    </xf>
    <xf numFmtId="6" fontId="26" fillId="2" borderId="19" xfId="1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vertical="center"/>
    </xf>
    <xf numFmtId="6" fontId="7" fillId="5" borderId="1" xfId="1" applyNumberFormat="1" applyFont="1" applyFill="1" applyBorder="1" applyAlignment="1" applyProtection="1">
      <alignment horizontal="right" vertical="center"/>
      <protection locked="0"/>
    </xf>
    <xf numFmtId="6" fontId="7" fillId="5" borderId="11" xfId="1" applyNumberFormat="1" applyFont="1" applyFill="1" applyBorder="1" applyAlignment="1" applyProtection="1">
      <alignment horizontal="right" vertical="center"/>
      <protection locked="0"/>
    </xf>
    <xf numFmtId="6" fontId="26" fillId="5" borderId="1" xfId="1" applyNumberFormat="1" applyFont="1" applyFill="1" applyBorder="1" applyAlignment="1" applyProtection="1">
      <alignment horizontal="right" vertical="center"/>
      <protection locked="0"/>
    </xf>
    <xf numFmtId="3" fontId="6" fillId="5" borderId="1" xfId="4" applyNumberFormat="1" applyFont="1" applyFill="1" applyBorder="1" applyAlignment="1" applyProtection="1">
      <alignment horizontal="right" vertical="center"/>
    </xf>
    <xf numFmtId="3" fontId="7" fillId="5" borderId="1" xfId="4" applyNumberFormat="1" applyFont="1" applyFill="1" applyBorder="1" applyAlignment="1" applyProtection="1">
      <alignment horizontal="right" vertical="center"/>
    </xf>
    <xf numFmtId="0" fontId="10" fillId="0" borderId="9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/>
    </xf>
    <xf numFmtId="0" fontId="10" fillId="0" borderId="9" xfId="5" applyFont="1" applyFill="1" applyBorder="1" applyAlignment="1">
      <alignment horizontal="left" vertical="center" wrapText="1"/>
    </xf>
    <xf numFmtId="0" fontId="6" fillId="0" borderId="2" xfId="5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horizontal="left" vertical="center"/>
    </xf>
    <xf numFmtId="0" fontId="6" fillId="0" borderId="1" xfId="3" quotePrefix="1" applyFont="1" applyFill="1" applyBorder="1" applyAlignment="1" applyProtection="1">
      <alignment horizontal="left" vertical="center"/>
    </xf>
    <xf numFmtId="0" fontId="10" fillId="0" borderId="2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166" fontId="6" fillId="0" borderId="0" xfId="5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6" fontId="6" fillId="0" borderId="5" xfId="1" applyNumberFormat="1" applyFont="1" applyFill="1" applyBorder="1" applyAlignment="1">
      <alignment horizontal="center" vertical="center" wrapText="1"/>
    </xf>
    <xf numFmtId="0" fontId="6" fillId="0" borderId="1" xfId="3" quotePrefix="1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9" fontId="8" fillId="0" borderId="1" xfId="2" quotePrefix="1" applyFont="1" applyFill="1" applyBorder="1" applyAlignment="1">
      <alignment horizontal="center" vertical="center"/>
    </xf>
    <xf numFmtId="6" fontId="8" fillId="5" borderId="1" xfId="1" applyNumberFormat="1" applyFont="1" applyFill="1" applyBorder="1" applyAlignment="1" applyProtection="1">
      <alignment horizontal="right" vertical="center"/>
      <protection locked="0"/>
    </xf>
    <xf numFmtId="6" fontId="8" fillId="2" borderId="1" xfId="1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vertical="center"/>
    </xf>
    <xf numFmtId="164" fontId="30" fillId="0" borderId="1" xfId="3" quotePrefix="1" applyNumberFormat="1" applyFont="1" applyFill="1" applyBorder="1" applyAlignment="1">
      <alignment horizontal="right" vertical="center"/>
    </xf>
    <xf numFmtId="0" fontId="30" fillId="0" borderId="1" xfId="3" applyFont="1" applyFill="1" applyBorder="1" applyAlignment="1">
      <alignment horizontal="left" vertical="center" wrapText="1"/>
    </xf>
    <xf numFmtId="9" fontId="30" fillId="0" borderId="1" xfId="2" quotePrefix="1" applyFont="1" applyFill="1" applyBorder="1" applyAlignment="1">
      <alignment horizontal="center" vertical="center"/>
    </xf>
    <xf numFmtId="6" fontId="30" fillId="5" borderId="1" xfId="1" applyNumberFormat="1" applyFont="1" applyFill="1" applyBorder="1" applyAlignment="1" applyProtection="1">
      <alignment horizontal="right" vertical="center"/>
      <protection locked="0"/>
    </xf>
    <xf numFmtId="6" fontId="30" fillId="2" borderId="1" xfId="1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vertical="center"/>
    </xf>
    <xf numFmtId="6" fontId="6" fillId="5" borderId="1" xfId="1" applyNumberFormat="1" applyFont="1" applyFill="1" applyBorder="1" applyAlignment="1" applyProtection="1">
      <alignment horizontal="right" vertical="center"/>
      <protection locked="0"/>
    </xf>
    <xf numFmtId="6" fontId="6" fillId="2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Alignment="1">
      <alignment horizontal="left" vertical="center" wrapText="1"/>
    </xf>
    <xf numFmtId="0" fontId="6" fillId="0" borderId="1" xfId="5" applyFont="1" applyFill="1" applyBorder="1" applyAlignment="1" applyProtection="1">
      <alignment vertical="center" wrapText="1"/>
    </xf>
    <xf numFmtId="0" fontId="6" fillId="0" borderId="1" xfId="5" applyFont="1" applyFill="1" applyBorder="1" applyAlignment="1" applyProtection="1">
      <alignment horizontal="left" vertical="center"/>
    </xf>
    <xf numFmtId="0" fontId="6" fillId="0" borderId="1" xfId="3" quotePrefix="1" applyFont="1" applyFill="1" applyBorder="1" applyAlignment="1">
      <alignment horizontal="left" vertical="center" wrapText="1"/>
    </xf>
    <xf numFmtId="0" fontId="6" fillId="0" borderId="1" xfId="3" quotePrefix="1" applyFont="1" applyFill="1" applyBorder="1" applyAlignment="1" applyProtection="1">
      <alignment horizontal="left" vertical="center"/>
    </xf>
    <xf numFmtId="6" fontId="26" fillId="4" borderId="1" xfId="1" applyNumberFormat="1" applyFont="1" applyFill="1" applyBorder="1" applyAlignment="1" applyProtection="1">
      <alignment horizontal="right" vertical="center"/>
      <protection locked="0"/>
    </xf>
    <xf numFmtId="0" fontId="33" fillId="0" borderId="11" xfId="3" quotePrefix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vertical="center"/>
    </xf>
    <xf numFmtId="0" fontId="34" fillId="0" borderId="11" xfId="3" applyFont="1" applyFill="1" applyBorder="1" applyAlignment="1">
      <alignment horizontal="left" vertical="center" wrapText="1"/>
    </xf>
    <xf numFmtId="168" fontId="33" fillId="0" borderId="11" xfId="2" quotePrefix="1" applyNumberFormat="1" applyFont="1" applyFill="1" applyBorder="1" applyAlignment="1">
      <alignment horizontal="center" vertical="center"/>
    </xf>
    <xf numFmtId="6" fontId="34" fillId="5" borderId="11" xfId="1" applyNumberFormat="1" applyFont="1" applyFill="1" applyBorder="1" applyAlignment="1" applyProtection="1">
      <alignment horizontal="right" vertical="center"/>
      <protection locked="0"/>
    </xf>
    <xf numFmtId="6" fontId="34" fillId="5" borderId="1" xfId="1" applyNumberFormat="1" applyFont="1" applyFill="1" applyBorder="1" applyAlignment="1" applyProtection="1">
      <alignment horizontal="right" vertical="center"/>
      <protection locked="0"/>
    </xf>
    <xf numFmtId="6" fontId="34" fillId="2" borderId="1" xfId="1" applyNumberFormat="1" applyFont="1" applyFill="1" applyBorder="1" applyAlignment="1" applyProtection="1">
      <alignment horizontal="right" vertical="center"/>
      <protection locked="0"/>
    </xf>
    <xf numFmtId="6" fontId="34" fillId="4" borderId="11" xfId="1" applyNumberFormat="1" applyFont="1" applyFill="1" applyBorder="1" applyAlignment="1" applyProtection="1">
      <alignment horizontal="right" vertical="center"/>
      <protection locked="0"/>
    </xf>
    <xf numFmtId="6" fontId="34" fillId="4" borderId="1" xfId="1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Border="1" applyAlignment="1">
      <alignment vertical="center"/>
    </xf>
    <xf numFmtId="6" fontId="6" fillId="0" borderId="1" xfId="1" applyNumberFormat="1" applyFont="1" applyFill="1" applyBorder="1" applyAlignment="1" applyProtection="1">
      <alignment horizontal="right" vertical="center"/>
    </xf>
    <xf numFmtId="6" fontId="6" fillId="0" borderId="1" xfId="1" applyNumberFormat="1" applyFont="1" applyFill="1" applyBorder="1" applyAlignment="1" applyProtection="1">
      <alignment horizontal="right" vertical="center"/>
      <protection locked="0"/>
    </xf>
    <xf numFmtId="165" fontId="6" fillId="0" borderId="1" xfId="3" applyNumberFormat="1" applyFont="1" applyFill="1" applyBorder="1" applyAlignment="1" applyProtection="1">
      <alignment horizontal="right" vertical="center"/>
    </xf>
    <xf numFmtId="164" fontId="9" fillId="0" borderId="1" xfId="3" quotePrefix="1" applyNumberFormat="1" applyFont="1" applyFill="1" applyBorder="1" applyAlignment="1" applyProtection="1">
      <alignment horizontal="right" vertical="center"/>
    </xf>
    <xf numFmtId="6" fontId="36" fillId="2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0" xfId="5" applyFont="1" applyFill="1" applyBorder="1" applyAlignment="1">
      <alignment vertical="center"/>
    </xf>
    <xf numFmtId="0" fontId="8" fillId="0" borderId="1" xfId="3" quotePrefix="1" applyFont="1" applyFill="1" applyBorder="1" applyAlignment="1">
      <alignment horizontal="right" vertical="center"/>
    </xf>
    <xf numFmtId="0" fontId="7" fillId="0" borderId="1" xfId="3" quotePrefix="1" applyFont="1" applyFill="1" applyBorder="1" applyAlignment="1">
      <alignment horizontal="right" vertical="center"/>
    </xf>
    <xf numFmtId="0" fontId="21" fillId="0" borderId="1" xfId="3" applyFont="1" applyFill="1" applyBorder="1" applyAlignment="1" applyProtection="1">
      <alignment horizontal="right" vertical="center"/>
    </xf>
    <xf numFmtId="0" fontId="6" fillId="0" borderId="1" xfId="3" applyFont="1" applyFill="1" applyBorder="1" applyAlignment="1" applyProtection="1">
      <alignment horizontal="right" vertical="center"/>
    </xf>
    <xf numFmtId="0" fontId="30" fillId="0" borderId="1" xfId="3" quotePrefix="1" applyFont="1" applyFill="1" applyBorder="1" applyAlignment="1">
      <alignment horizontal="right" vertical="center"/>
    </xf>
    <xf numFmtId="0" fontId="22" fillId="0" borderId="18" xfId="3" quotePrefix="1" applyFont="1" applyFill="1" applyBorder="1" applyAlignment="1">
      <alignment horizontal="right" vertical="center"/>
    </xf>
    <xf numFmtId="3" fontId="6" fillId="0" borderId="1" xfId="3" applyNumberFormat="1" applyFont="1" applyFill="1" applyBorder="1" applyAlignment="1">
      <alignment horizontal="left" vertical="center"/>
    </xf>
    <xf numFmtId="3" fontId="7" fillId="0" borderId="1" xfId="3" applyNumberFormat="1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left" vertical="center"/>
    </xf>
    <xf numFmtId="6" fontId="34" fillId="2" borderId="1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/>
    <xf numFmtId="3" fontId="3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3" fontId="40" fillId="0" borderId="27" xfId="0" applyNumberFormat="1" applyFont="1" applyFill="1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3" fontId="40" fillId="0" borderId="26" xfId="0" applyNumberFormat="1" applyFont="1" applyFill="1" applyBorder="1" applyAlignment="1">
      <alignment horizontal="center" vertical="center" wrapText="1"/>
    </xf>
    <xf numFmtId="3" fontId="40" fillId="0" borderId="29" xfId="0" applyNumberFormat="1" applyFont="1" applyFill="1" applyBorder="1" applyAlignment="1">
      <alignment horizontal="center" vertical="center" wrapText="1"/>
    </xf>
    <xf numFmtId="3" fontId="38" fillId="0" borderId="26" xfId="0" applyNumberFormat="1" applyFont="1" applyFill="1" applyBorder="1" applyAlignment="1">
      <alignment horizontal="center" vertical="center" wrapText="1"/>
    </xf>
    <xf numFmtId="3" fontId="42" fillId="0" borderId="26" xfId="4" applyNumberFormat="1" applyFont="1" applyFill="1" applyBorder="1" applyAlignment="1">
      <alignment horizontal="center" vertical="center" wrapText="1"/>
    </xf>
    <xf numFmtId="3" fontId="42" fillId="0" borderId="30" xfId="4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7" fillId="0" borderId="31" xfId="0" applyFont="1" applyFill="1" applyBorder="1" applyAlignment="1">
      <alignment vertical="center"/>
    </xf>
    <xf numFmtId="0" fontId="37" fillId="0" borderId="32" xfId="0" applyFont="1" applyFill="1" applyBorder="1" applyAlignment="1">
      <alignment vertical="center" wrapText="1"/>
    </xf>
    <xf numFmtId="3" fontId="37" fillId="0" borderId="33" xfId="0" applyNumberFormat="1" applyFont="1" applyFill="1" applyBorder="1" applyAlignment="1" applyProtection="1">
      <alignment horizontal="right"/>
    </xf>
    <xf numFmtId="3" fontId="37" fillId="0" borderId="34" xfId="0" applyNumberFormat="1" applyFont="1" applyFill="1" applyBorder="1" applyAlignment="1" applyProtection="1">
      <alignment horizontal="right"/>
    </xf>
    <xf numFmtId="3" fontId="37" fillId="0" borderId="35" xfId="0" applyNumberFormat="1" applyFont="1" applyFill="1" applyBorder="1" applyAlignment="1" applyProtection="1">
      <alignment horizontal="right"/>
    </xf>
    <xf numFmtId="3" fontId="37" fillId="0" borderId="36" xfId="0" applyNumberFormat="1" applyFont="1" applyFill="1" applyBorder="1" applyAlignment="1" applyProtection="1">
      <alignment horizontal="right"/>
    </xf>
    <xf numFmtId="3" fontId="37" fillId="0" borderId="37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10" fillId="6" borderId="31" xfId="0" applyFont="1" applyFill="1" applyBorder="1" applyAlignment="1">
      <alignment vertical="center"/>
    </xf>
    <xf numFmtId="0" fontId="10" fillId="6" borderId="32" xfId="0" applyFont="1" applyFill="1" applyBorder="1" applyAlignment="1">
      <alignment vertical="center" wrapText="1"/>
    </xf>
    <xf numFmtId="3" fontId="10" fillId="6" borderId="33" xfId="0" applyNumberFormat="1" applyFont="1" applyFill="1" applyBorder="1" applyAlignment="1" applyProtection="1">
      <alignment horizontal="right"/>
    </xf>
    <xf numFmtId="3" fontId="10" fillId="6" borderId="34" xfId="0" applyNumberFormat="1" applyFont="1" applyFill="1" applyBorder="1" applyAlignment="1" applyProtection="1">
      <alignment horizontal="right"/>
    </xf>
    <xf numFmtId="3" fontId="10" fillId="6" borderId="35" xfId="0" applyNumberFormat="1" applyFont="1" applyFill="1" applyBorder="1" applyAlignment="1" applyProtection="1">
      <alignment horizontal="right"/>
    </xf>
    <xf numFmtId="3" fontId="10" fillId="6" borderId="36" xfId="0" applyNumberFormat="1" applyFont="1" applyFill="1" applyBorder="1" applyAlignment="1" applyProtection="1">
      <alignment horizontal="right"/>
    </xf>
    <xf numFmtId="3" fontId="10" fillId="6" borderId="37" xfId="0" applyNumberFormat="1" applyFont="1" applyFill="1" applyBorder="1" applyAlignment="1" applyProtection="1">
      <alignment horizontal="right"/>
    </xf>
    <xf numFmtId="0" fontId="12" fillId="0" borderId="0" xfId="0" applyFont="1" applyFill="1" applyBorder="1"/>
    <xf numFmtId="172" fontId="38" fillId="3" borderId="38" xfId="4" applyNumberFormat="1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left"/>
    </xf>
    <xf numFmtId="172" fontId="38" fillId="3" borderId="43" xfId="4" applyNumberFormat="1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left"/>
    </xf>
    <xf numFmtId="0" fontId="10" fillId="6" borderId="48" xfId="0" applyFont="1" applyFill="1" applyBorder="1" applyAlignment="1">
      <alignment vertical="center"/>
    </xf>
    <xf numFmtId="0" fontId="10" fillId="6" borderId="49" xfId="0" applyFont="1" applyFill="1" applyBorder="1" applyAlignment="1">
      <alignment vertical="center" wrapText="1"/>
    </xf>
    <xf numFmtId="3" fontId="10" fillId="6" borderId="45" xfId="0" applyNumberFormat="1" applyFont="1" applyFill="1" applyBorder="1" applyAlignment="1" applyProtection="1">
      <alignment horizontal="right"/>
    </xf>
    <xf numFmtId="3" fontId="10" fillId="6" borderId="46" xfId="0" applyNumberFormat="1" applyFont="1" applyFill="1" applyBorder="1" applyAlignment="1" applyProtection="1">
      <alignment horizontal="right"/>
    </xf>
    <xf numFmtId="3" fontId="10" fillId="6" borderId="47" xfId="0" applyNumberFormat="1" applyFont="1" applyFill="1" applyBorder="1" applyAlignment="1" applyProtection="1">
      <alignment horizontal="right"/>
    </xf>
    <xf numFmtId="169" fontId="38" fillId="0" borderId="44" xfId="0" applyNumberFormat="1" applyFont="1" applyFill="1" applyBorder="1" applyAlignment="1">
      <alignment horizontal="left"/>
    </xf>
    <xf numFmtId="169" fontId="38" fillId="0" borderId="44" xfId="0" applyNumberFormat="1" applyFont="1" applyFill="1" applyBorder="1"/>
    <xf numFmtId="3" fontId="38" fillId="3" borderId="43" xfId="0" applyNumberFormat="1" applyFont="1" applyFill="1" applyBorder="1" applyAlignment="1">
      <alignment horizontal="center"/>
    </xf>
    <xf numFmtId="0" fontId="38" fillId="0" borderId="44" xfId="0" applyFont="1" applyFill="1" applyBorder="1" applyAlignment="1">
      <alignment wrapText="1"/>
    </xf>
    <xf numFmtId="3" fontId="38" fillId="0" borderId="43" xfId="0" applyNumberFormat="1" applyFont="1" applyFill="1" applyBorder="1" applyAlignment="1">
      <alignment horizontal="center"/>
    </xf>
    <xf numFmtId="3" fontId="38" fillId="7" borderId="46" xfId="0" applyNumberFormat="1" applyFont="1" applyFill="1" applyBorder="1" applyAlignment="1">
      <alignment horizontal="right"/>
    </xf>
    <xf numFmtId="3" fontId="38" fillId="7" borderId="47" xfId="0" applyNumberFormat="1" applyFont="1" applyFill="1" applyBorder="1" applyAlignment="1">
      <alignment horizontal="right"/>
    </xf>
    <xf numFmtId="3" fontId="38" fillId="8" borderId="46" xfId="0" applyNumberFormat="1" applyFont="1" applyFill="1" applyBorder="1" applyAlignment="1">
      <alignment horizontal="right"/>
    </xf>
    <xf numFmtId="3" fontId="38" fillId="8" borderId="47" xfId="0" applyNumberFormat="1" applyFont="1" applyFill="1" applyBorder="1" applyAlignment="1">
      <alignment horizontal="right"/>
    </xf>
    <xf numFmtId="3" fontId="38" fillId="9" borderId="46" xfId="0" applyNumberFormat="1" applyFont="1" applyFill="1" applyBorder="1" applyAlignment="1">
      <alignment horizontal="right"/>
    </xf>
    <xf numFmtId="3" fontId="38" fillId="9" borderId="47" xfId="0" applyNumberFormat="1" applyFont="1" applyFill="1" applyBorder="1" applyAlignment="1">
      <alignment horizontal="right"/>
    </xf>
    <xf numFmtId="3" fontId="38" fillId="10" borderId="46" xfId="0" applyNumberFormat="1" applyFont="1" applyFill="1" applyBorder="1" applyAlignment="1">
      <alignment horizontal="right"/>
    </xf>
    <xf numFmtId="3" fontId="38" fillId="10" borderId="47" xfId="0" applyNumberFormat="1" applyFont="1" applyFill="1" applyBorder="1" applyAlignment="1">
      <alignment horizontal="right"/>
    </xf>
    <xf numFmtId="169" fontId="43" fillId="0" borderId="44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172" fontId="38" fillId="3" borderId="48" xfId="4" applyNumberFormat="1" applyFont="1" applyFill="1" applyBorder="1" applyAlignment="1">
      <alignment horizontal="center" vertical="center" wrapText="1"/>
    </xf>
    <xf numFmtId="169" fontId="43" fillId="0" borderId="49" xfId="0" applyNumberFormat="1" applyFont="1" applyFill="1" applyBorder="1" applyAlignment="1">
      <alignment horizontal="left" vertical="center"/>
    </xf>
    <xf numFmtId="0" fontId="38" fillId="0" borderId="44" xfId="0" applyFont="1" applyFill="1" applyBorder="1"/>
    <xf numFmtId="172" fontId="38" fillId="3" borderId="50" xfId="4" applyNumberFormat="1" applyFont="1" applyFill="1" applyBorder="1" applyAlignment="1">
      <alignment horizontal="center" vertical="center" wrapText="1"/>
    </xf>
    <xf numFmtId="169" fontId="38" fillId="0" borderId="51" xfId="0" applyNumberFormat="1" applyFont="1" applyFill="1" applyBorder="1"/>
    <xf numFmtId="3" fontId="44" fillId="0" borderId="0" xfId="0" applyNumberFormat="1" applyFont="1" applyFill="1" applyBorder="1" applyAlignment="1">
      <alignment horizontal="right"/>
    </xf>
    <xf numFmtId="0" fontId="45" fillId="7" borderId="40" xfId="0" applyFont="1" applyFill="1" applyBorder="1" applyAlignment="1"/>
    <xf numFmtId="0" fontId="45" fillId="7" borderId="41" xfId="0" applyFont="1" applyFill="1" applyBorder="1" applyAlignment="1"/>
    <xf numFmtId="0" fontId="45" fillId="7" borderId="42" xfId="0" applyFont="1" applyFill="1" applyBorder="1" applyAlignment="1"/>
    <xf numFmtId="0" fontId="45" fillId="8" borderId="40" xfId="0" applyFont="1" applyFill="1" applyBorder="1" applyAlignment="1"/>
    <xf numFmtId="0" fontId="45" fillId="8" borderId="41" xfId="0" applyFont="1" applyFill="1" applyBorder="1" applyAlignment="1"/>
    <xf numFmtId="0" fontId="45" fillId="8" borderId="42" xfId="0" applyFont="1" applyFill="1" applyBorder="1" applyAlignment="1"/>
    <xf numFmtId="0" fontId="45" fillId="9" borderId="40" xfId="0" applyFont="1" applyFill="1" applyBorder="1" applyAlignment="1"/>
    <xf numFmtId="0" fontId="45" fillId="9" borderId="41" xfId="0" applyFont="1" applyFill="1" applyBorder="1" applyAlignment="1"/>
    <xf numFmtId="0" fontId="45" fillId="9" borderId="42" xfId="0" applyFont="1" applyFill="1" applyBorder="1" applyAlignment="1"/>
    <xf numFmtId="0" fontId="45" fillId="10" borderId="40" xfId="0" applyFont="1" applyFill="1" applyBorder="1" applyAlignment="1"/>
    <xf numFmtId="0" fontId="45" fillId="10" borderId="41" xfId="0" applyFont="1" applyFill="1" applyBorder="1" applyAlignment="1"/>
    <xf numFmtId="0" fontId="45" fillId="10" borderId="42" xfId="0" applyFont="1" applyFill="1" applyBorder="1" applyAlignment="1"/>
    <xf numFmtId="0" fontId="45" fillId="7" borderId="45" xfId="0" applyFont="1" applyFill="1" applyBorder="1" applyAlignment="1"/>
    <xf numFmtId="0" fontId="45" fillId="7" borderId="46" xfId="0" applyFont="1" applyFill="1" applyBorder="1" applyAlignment="1"/>
    <xf numFmtId="0" fontId="45" fillId="7" borderId="47" xfId="0" applyFont="1" applyFill="1" applyBorder="1" applyAlignment="1"/>
    <xf numFmtId="0" fontId="45" fillId="8" borderId="45" xfId="0" applyFont="1" applyFill="1" applyBorder="1" applyAlignment="1"/>
    <xf numFmtId="0" fontId="45" fillId="8" borderId="46" xfId="0" applyFont="1" applyFill="1" applyBorder="1" applyAlignment="1"/>
    <xf numFmtId="0" fontId="45" fillId="8" borderId="47" xfId="0" applyFont="1" applyFill="1" applyBorder="1" applyAlignment="1"/>
    <xf numFmtId="0" fontId="45" fillId="9" borderId="45" xfId="0" applyFont="1" applyFill="1" applyBorder="1" applyAlignment="1"/>
    <xf numFmtId="0" fontId="45" fillId="9" borderId="46" xfId="0" applyFont="1" applyFill="1" applyBorder="1" applyAlignment="1"/>
    <xf numFmtId="0" fontId="45" fillId="9" borderId="47" xfId="0" applyFont="1" applyFill="1" applyBorder="1" applyAlignment="1"/>
    <xf numFmtId="0" fontId="45" fillId="10" borderId="45" xfId="0" applyFont="1" applyFill="1" applyBorder="1" applyAlignment="1"/>
    <xf numFmtId="0" fontId="45" fillId="10" borderId="46" xfId="0" applyFont="1" applyFill="1" applyBorder="1" applyAlignment="1"/>
    <xf numFmtId="0" fontId="45" fillId="10" borderId="47" xfId="0" applyFont="1" applyFill="1" applyBorder="1" applyAlignment="1"/>
    <xf numFmtId="0" fontId="46" fillId="7" borderId="45" xfId="0" applyFont="1" applyFill="1" applyBorder="1" applyAlignment="1"/>
    <xf numFmtId="0" fontId="46" fillId="7" borderId="46" xfId="0" applyFont="1" applyFill="1" applyBorder="1" applyAlignment="1"/>
    <xf numFmtId="0" fontId="46" fillId="7" borderId="47" xfId="0" applyFont="1" applyFill="1" applyBorder="1" applyAlignment="1"/>
    <xf numFmtId="0" fontId="46" fillId="8" borderId="45" xfId="0" applyFont="1" applyFill="1" applyBorder="1" applyAlignment="1"/>
    <xf numFmtId="0" fontId="46" fillId="8" borderId="46" xfId="0" applyFont="1" applyFill="1" applyBorder="1" applyAlignment="1"/>
    <xf numFmtId="0" fontId="46" fillId="8" borderId="47" xfId="0" applyFont="1" applyFill="1" applyBorder="1" applyAlignment="1"/>
    <xf numFmtId="0" fontId="46" fillId="9" borderId="45" xfId="0" applyFont="1" applyFill="1" applyBorder="1" applyAlignment="1"/>
    <xf numFmtId="0" fontId="46" fillId="9" borderId="46" xfId="0" applyFont="1" applyFill="1" applyBorder="1" applyAlignment="1"/>
    <xf numFmtId="0" fontId="46" fillId="9" borderId="47" xfId="0" applyFont="1" applyFill="1" applyBorder="1" applyAlignment="1"/>
    <xf numFmtId="0" fontId="46" fillId="10" borderId="45" xfId="0" applyFont="1" applyFill="1" applyBorder="1" applyAlignment="1"/>
    <xf numFmtId="0" fontId="46" fillId="10" borderId="46" xfId="0" applyFont="1" applyFill="1" applyBorder="1" applyAlignment="1"/>
    <xf numFmtId="0" fontId="46" fillId="10" borderId="47" xfId="0" applyFont="1" applyFill="1" applyBorder="1" applyAlignment="1"/>
    <xf numFmtId="0" fontId="45" fillId="7" borderId="52" xfId="0" applyFont="1" applyFill="1" applyBorder="1" applyAlignment="1"/>
    <xf numFmtId="0" fontId="45" fillId="7" borderId="53" xfId="0" applyFont="1" applyFill="1" applyBorder="1" applyAlignment="1"/>
    <xf numFmtId="0" fontId="45" fillId="8" borderId="52" xfId="0" applyFont="1" applyFill="1" applyBorder="1" applyAlignment="1"/>
    <xf numFmtId="0" fontId="45" fillId="8" borderId="53" xfId="0" applyFont="1" applyFill="1" applyBorder="1" applyAlignment="1"/>
    <xf numFmtId="0" fontId="45" fillId="9" borderId="52" xfId="0" applyFont="1" applyFill="1" applyBorder="1" applyAlignment="1"/>
    <xf numFmtId="0" fontId="45" fillId="9" borderId="53" xfId="0" applyFont="1" applyFill="1" applyBorder="1" applyAlignment="1"/>
    <xf numFmtId="0" fontId="45" fillId="10" borderId="52" xfId="0" applyFont="1" applyFill="1" applyBorder="1" applyAlignment="1"/>
    <xf numFmtId="0" fontId="45" fillId="10" borderId="53" xfId="0" applyFont="1" applyFill="1" applyBorder="1" applyAlignment="1"/>
    <xf numFmtId="6" fontId="7" fillId="0" borderId="0" xfId="0" applyNumberFormat="1" applyFont="1" applyBorder="1" applyAlignment="1">
      <alignment vertical="center" wrapText="1"/>
    </xf>
    <xf numFmtId="6" fontId="38" fillId="0" borderId="0" xfId="0" applyNumberFormat="1" applyFont="1" applyBorder="1" applyAlignment="1">
      <alignment vertical="center" wrapText="1"/>
    </xf>
    <xf numFmtId="6" fontId="6" fillId="0" borderId="0" xfId="0" applyNumberFormat="1" applyFont="1" applyBorder="1" applyAlignment="1">
      <alignment vertical="center" wrapText="1"/>
    </xf>
    <xf numFmtId="9" fontId="6" fillId="0" borderId="0" xfId="2" applyFont="1" applyBorder="1" applyAlignment="1">
      <alignment vertical="center" wrapText="1"/>
    </xf>
    <xf numFmtId="6" fontId="47" fillId="0" borderId="0" xfId="0" applyNumberFormat="1" applyFont="1" applyBorder="1" applyAlignment="1">
      <alignment vertical="center" wrapText="1"/>
    </xf>
    <xf numFmtId="6" fontId="34" fillId="0" borderId="0" xfId="0" applyNumberFormat="1" applyFont="1" applyBorder="1" applyAlignment="1">
      <alignment vertical="center" wrapText="1"/>
    </xf>
    <xf numFmtId="6" fontId="33" fillId="0" borderId="0" xfId="0" applyNumberFormat="1" applyFont="1" applyBorder="1" applyAlignment="1">
      <alignment vertical="center" wrapText="1"/>
    </xf>
    <xf numFmtId="6" fontId="6" fillId="0" borderId="0" xfId="0" applyNumberFormat="1" applyFont="1" applyFill="1" applyBorder="1" applyAlignment="1">
      <alignment horizontal="center" vertical="center" wrapText="1"/>
    </xf>
    <xf numFmtId="6" fontId="40" fillId="0" borderId="0" xfId="0" applyNumberFormat="1" applyFont="1" applyFill="1" applyBorder="1" applyAlignment="1">
      <alignment horizontal="center" vertical="center" wrapText="1"/>
    </xf>
    <xf numFmtId="6" fontId="48" fillId="0" borderId="0" xfId="0" applyNumberFormat="1" applyFont="1" applyFill="1" applyBorder="1" applyAlignment="1">
      <alignment horizontal="center" vertical="center" wrapText="1"/>
    </xf>
    <xf numFmtId="6" fontId="10" fillId="0" borderId="0" xfId="0" applyNumberFormat="1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vertical="center" wrapText="1"/>
    </xf>
    <xf numFmtId="170" fontId="9" fillId="4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vertical="center" wrapText="1"/>
    </xf>
    <xf numFmtId="6" fontId="50" fillId="4" borderId="0" xfId="0" applyNumberFormat="1" applyFont="1" applyFill="1" applyBorder="1" applyAlignment="1">
      <alignment horizontal="center" vertical="center" wrapText="1"/>
    </xf>
    <xf numFmtId="6" fontId="9" fillId="4" borderId="0" xfId="0" applyNumberFormat="1" applyFont="1" applyFill="1" applyBorder="1" applyAlignment="1">
      <alignment horizontal="center" vertical="center" wrapText="1"/>
    </xf>
    <xf numFmtId="6" fontId="51" fillId="0" borderId="0" xfId="0" applyNumberFormat="1" applyFont="1" applyFill="1" applyBorder="1" applyAlignment="1">
      <alignment vertical="center" wrapText="1"/>
    </xf>
    <xf numFmtId="6" fontId="10" fillId="0" borderId="0" xfId="0" applyNumberFormat="1" applyFont="1" applyBorder="1" applyAlignment="1">
      <alignment vertical="center"/>
    </xf>
    <xf numFmtId="6" fontId="40" fillId="0" borderId="0" xfId="0" applyNumberFormat="1" applyFont="1" applyBorder="1" applyAlignment="1">
      <alignment horizontal="right" vertical="center" wrapText="1"/>
    </xf>
    <xf numFmtId="6" fontId="40" fillId="0" borderId="0" xfId="1" applyNumberFormat="1" applyFont="1" applyFill="1" applyBorder="1" applyAlignment="1" applyProtection="1">
      <alignment horizontal="right"/>
    </xf>
    <xf numFmtId="6" fontId="12" fillId="0" borderId="0" xfId="0" applyNumberFormat="1" applyFont="1" applyBorder="1" applyAlignment="1">
      <alignment vertical="center" wrapText="1"/>
    </xf>
    <xf numFmtId="6" fontId="40" fillId="6" borderId="0" xfId="1" applyNumberFormat="1" applyFont="1" applyFill="1" applyBorder="1" applyAlignment="1" applyProtection="1">
      <alignment horizontal="left"/>
    </xf>
    <xf numFmtId="6" fontId="40" fillId="6" borderId="0" xfId="1" applyNumberFormat="1" applyFont="1" applyFill="1" applyBorder="1" applyAlignment="1" applyProtection="1">
      <alignment horizontal="right"/>
    </xf>
    <xf numFmtId="10" fontId="7" fillId="0" borderId="0" xfId="2" applyNumberFormat="1" applyFont="1" applyBorder="1" applyAlignment="1">
      <alignment vertical="center" wrapText="1"/>
    </xf>
    <xf numFmtId="6" fontId="37" fillId="0" borderId="0" xfId="0" applyNumberFormat="1" applyFont="1" applyBorder="1" applyAlignment="1">
      <alignment vertical="center" wrapText="1"/>
    </xf>
    <xf numFmtId="0" fontId="47" fillId="0" borderId="1" xfId="3" quotePrefix="1" applyFont="1" applyFill="1" applyBorder="1" applyAlignment="1">
      <alignment horizontal="right" vertical="center"/>
    </xf>
    <xf numFmtId="164" fontId="47" fillId="0" borderId="1" xfId="3" quotePrefix="1" applyNumberFormat="1" applyFont="1" applyFill="1" applyBorder="1" applyAlignment="1">
      <alignment horizontal="right" vertical="center"/>
    </xf>
    <xf numFmtId="0" fontId="47" fillId="0" borderId="1" xfId="3" applyFont="1" applyFill="1" applyBorder="1" applyAlignment="1">
      <alignment horizontal="left" vertical="center" wrapText="1"/>
    </xf>
    <xf numFmtId="9" fontId="47" fillId="0" borderId="1" xfId="2" quotePrefix="1" applyFont="1" applyFill="1" applyBorder="1" applyAlignment="1">
      <alignment horizontal="center" vertical="center"/>
    </xf>
    <xf numFmtId="6" fontId="47" fillId="5" borderId="1" xfId="1" applyNumberFormat="1" applyFont="1" applyFill="1" applyBorder="1" applyAlignment="1" applyProtection="1">
      <alignment horizontal="right" vertical="center"/>
      <protection locked="0"/>
    </xf>
    <xf numFmtId="6" fontId="47" fillId="2" borderId="1" xfId="1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Border="1" applyAlignment="1">
      <alignment vertical="center"/>
    </xf>
    <xf numFmtId="0" fontId="10" fillId="0" borderId="8" xfId="5" applyFont="1" applyFill="1" applyBorder="1" applyAlignment="1" applyProtection="1">
      <alignment horizontal="left" vertical="center" wrapText="1"/>
    </xf>
    <xf numFmtId="0" fontId="10" fillId="0" borderId="9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/>
    </xf>
    <xf numFmtId="0" fontId="6" fillId="0" borderId="2" xfId="3" quotePrefix="1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6" fillId="0" borderId="1" xfId="3" quotePrefix="1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10" fillId="0" borderId="8" xfId="5" applyFont="1" applyFill="1" applyBorder="1" applyAlignment="1">
      <alignment horizontal="left" vertical="center" wrapText="1"/>
    </xf>
    <xf numFmtId="0" fontId="10" fillId="0" borderId="9" xfId="5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vertical="center" wrapText="1"/>
    </xf>
    <xf numFmtId="0" fontId="6" fillId="0" borderId="2" xfId="5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horizontal="left" vertical="center"/>
    </xf>
    <xf numFmtId="0" fontId="6" fillId="0" borderId="1" xfId="3" quotePrefix="1" applyFont="1" applyFill="1" applyBorder="1" applyAlignment="1" applyProtection="1">
      <alignment horizontal="left" vertical="center" wrapText="1"/>
    </xf>
    <xf numFmtId="0" fontId="10" fillId="0" borderId="2" xfId="3" applyFont="1" applyFill="1" applyBorder="1" applyAlignment="1">
      <alignment horizontal="left" vertical="center" wrapText="1"/>
    </xf>
    <xf numFmtId="0" fontId="6" fillId="0" borderId="1" xfId="5" applyFont="1" applyFill="1" applyBorder="1" applyAlignment="1" applyProtection="1">
      <alignment vertical="center" wrapText="1"/>
    </xf>
    <xf numFmtId="0" fontId="6" fillId="0" borderId="12" xfId="3" quotePrefix="1" applyFont="1" applyFill="1" applyBorder="1" applyAlignment="1">
      <alignment horizontal="left" vertical="center" wrapText="1"/>
    </xf>
    <xf numFmtId="0" fontId="6" fillId="0" borderId="13" xfId="3" quotePrefix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0" fontId="10" fillId="0" borderId="15" xfId="5" quotePrefix="1" applyFont="1" applyFill="1" applyBorder="1" applyAlignment="1" applyProtection="1">
      <alignment horizontal="left" vertical="center" wrapText="1"/>
    </xf>
    <xf numFmtId="0" fontId="10" fillId="0" borderId="16" xfId="5" quotePrefix="1" applyFont="1" applyFill="1" applyBorder="1" applyAlignment="1" applyProtection="1">
      <alignment horizontal="left" vertical="center" wrapText="1"/>
    </xf>
    <xf numFmtId="0" fontId="10" fillId="0" borderId="17" xfId="5" quotePrefix="1" applyFont="1" applyFill="1" applyBorder="1" applyAlignment="1" applyProtection="1">
      <alignment horizontal="left" vertical="center" wrapText="1"/>
    </xf>
    <xf numFmtId="0" fontId="10" fillId="0" borderId="15" xfId="3" applyFont="1" applyFill="1" applyBorder="1" applyAlignment="1">
      <alignment horizontal="left" vertical="center" wrapText="1"/>
    </xf>
    <xf numFmtId="0" fontId="10" fillId="0" borderId="16" xfId="3" applyFont="1" applyFill="1" applyBorder="1" applyAlignment="1">
      <alignment horizontal="left" vertical="center" wrapText="1"/>
    </xf>
    <xf numFmtId="0" fontId="10" fillId="0" borderId="17" xfId="3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</cellXfs>
  <cellStyles count="9">
    <cellStyle name="Currency" xfId="1" builtinId="4"/>
    <cellStyle name="Currency 3" xfId="7"/>
    <cellStyle name="Currency 4" xfId="8"/>
    <cellStyle name="Currency 6" xfId="4"/>
    <cellStyle name="Normal" xfId="0" builtinId="0"/>
    <cellStyle name="Normal 2" xfId="5"/>
    <cellStyle name="Normal 2 2" xfId="6"/>
    <cellStyle name="Normal_EBK_PROJECT_2001-last" xfId="3"/>
    <cellStyle name="Percent" xfId="2" builtinId="5"/>
  </cellStyles>
  <dxfs count="0"/>
  <tableStyles count="0" defaultTableStyle="TableStyleMedium2" defaultPivotStyle="PivotStyleLight16"/>
  <colors>
    <mruColors>
      <color rgb="FF0000CC"/>
      <color rgb="FFFFCCCC"/>
      <color rgb="FFCCFFCC"/>
      <color rgb="FFCC00CC"/>
      <color rgb="FFCCFFFF"/>
      <color rgb="FFCCECFF"/>
      <color rgb="FF000099"/>
      <color rgb="FF0000FF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ova\AppData\Local\Temp\Rar$DIa0.834\B1-2017-SU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88"/>
  <sheetViews>
    <sheetView tabSelected="1" zoomScale="80" zoomScaleNormal="80" workbookViewId="0">
      <pane xSplit="7" ySplit="2" topLeftCell="AN3" activePane="bottomRight" state="frozen"/>
      <selection pane="topRight" activeCell="H1" sqref="H1"/>
      <selection pane="bottomLeft" activeCell="A3" sqref="A3"/>
      <selection pane="bottomRight" activeCell="AX2" sqref="AX2"/>
    </sheetView>
  </sheetViews>
  <sheetFormatPr defaultColWidth="9.140625" defaultRowHeight="15"/>
  <cols>
    <col min="1" max="1" width="9.28515625" style="147" customWidth="1"/>
    <col min="2" max="2" width="7.7109375" style="32" customWidth="1"/>
    <col min="3" max="3" width="72.140625" style="32" customWidth="1"/>
    <col min="4" max="4" width="7" style="169" customWidth="1"/>
    <col min="5" max="5" width="23.140625" style="26" hidden="1" customWidth="1"/>
    <col min="6" max="6" width="23.28515625" style="26" hidden="1" customWidth="1"/>
    <col min="7" max="7" width="22.5703125" style="105" customWidth="1"/>
    <col min="8" max="8" width="19.7109375" style="26" customWidth="1"/>
    <col min="9" max="11" width="20.7109375" style="26" customWidth="1"/>
    <col min="12" max="12" width="20.5703125" style="26" customWidth="1"/>
    <col min="13" max="14" width="19.7109375" style="26" customWidth="1"/>
    <col min="15" max="15" width="20.140625" style="26" customWidth="1"/>
    <col min="16" max="17" width="20.7109375" style="26" customWidth="1"/>
    <col min="18" max="18" width="20.5703125" style="26" customWidth="1"/>
    <col min="19" max="19" width="19.7109375" style="26" customWidth="1"/>
    <col min="20" max="21" width="20.7109375" style="26" customWidth="1"/>
    <col min="22" max="22" width="19.7109375" style="26" customWidth="1"/>
    <col min="23" max="23" width="20.7109375" style="26" customWidth="1"/>
    <col min="24" max="24" width="20.5703125" style="26" customWidth="1"/>
    <col min="25" max="26" width="19.7109375" style="26" customWidth="1"/>
    <col min="27" max="27" width="17.28515625" style="26" customWidth="1"/>
    <col min="28" max="28" width="19.42578125" style="26" customWidth="1"/>
    <col min="29" max="54" width="23" style="26" customWidth="1"/>
    <col min="55" max="16384" width="9.140625" style="32"/>
  </cols>
  <sheetData>
    <row r="1" spans="1:54" ht="15.75">
      <c r="A1" s="206"/>
      <c r="B1" s="37"/>
      <c r="C1" s="38"/>
      <c r="D1" s="168"/>
      <c r="E1" s="102"/>
      <c r="F1" s="102"/>
      <c r="G1" s="106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</row>
    <row r="2" spans="1:54" s="147" customFormat="1" ht="45.75" customHeight="1">
      <c r="A2" s="49" t="s">
        <v>0</v>
      </c>
      <c r="B2" s="50" t="s">
        <v>30</v>
      </c>
      <c r="C2" s="39" t="s">
        <v>55</v>
      </c>
      <c r="D2" s="51" t="s">
        <v>166</v>
      </c>
      <c r="E2" s="103" t="s">
        <v>201</v>
      </c>
      <c r="F2" s="103" t="s">
        <v>202</v>
      </c>
      <c r="G2" s="170" t="s">
        <v>210</v>
      </c>
      <c r="H2" s="103" t="s">
        <v>128</v>
      </c>
      <c r="I2" s="103" t="s">
        <v>101</v>
      </c>
      <c r="J2" s="103" t="s">
        <v>129</v>
      </c>
      <c r="K2" s="103" t="s">
        <v>130</v>
      </c>
      <c r="L2" s="103" t="s">
        <v>131</v>
      </c>
      <c r="M2" s="103" t="s">
        <v>132</v>
      </c>
      <c r="N2" s="103" t="s">
        <v>100</v>
      </c>
      <c r="O2" s="103" t="s">
        <v>102</v>
      </c>
      <c r="P2" s="103" t="s">
        <v>97</v>
      </c>
      <c r="Q2" s="103" t="s">
        <v>104</v>
      </c>
      <c r="R2" s="103" t="s">
        <v>185</v>
      </c>
      <c r="S2" s="103" t="s">
        <v>99</v>
      </c>
      <c r="T2" s="103" t="s">
        <v>133</v>
      </c>
      <c r="U2" s="103" t="s">
        <v>98</v>
      </c>
      <c r="V2" s="103" t="s">
        <v>103</v>
      </c>
      <c r="W2" s="103" t="s">
        <v>134</v>
      </c>
      <c r="X2" s="103" t="s">
        <v>135</v>
      </c>
      <c r="Y2" s="103" t="s">
        <v>106</v>
      </c>
      <c r="Z2" s="103" t="s">
        <v>105</v>
      </c>
      <c r="AA2" s="103" t="s">
        <v>136</v>
      </c>
      <c r="AB2" s="103" t="s">
        <v>155</v>
      </c>
      <c r="AC2" s="103" t="s">
        <v>107</v>
      </c>
      <c r="AD2" s="103" t="s">
        <v>108</v>
      </c>
      <c r="AE2" s="103" t="s">
        <v>109</v>
      </c>
      <c r="AF2" s="103" t="s">
        <v>110</v>
      </c>
      <c r="AG2" s="103" t="s">
        <v>111</v>
      </c>
      <c r="AH2" s="103" t="s">
        <v>112</v>
      </c>
      <c r="AI2" s="103" t="s">
        <v>113</v>
      </c>
      <c r="AJ2" s="103" t="s">
        <v>114</v>
      </c>
      <c r="AK2" s="103" t="s">
        <v>115</v>
      </c>
      <c r="AL2" s="103" t="s">
        <v>116</v>
      </c>
      <c r="AM2" s="103" t="s">
        <v>167</v>
      </c>
      <c r="AN2" s="103" t="s">
        <v>117</v>
      </c>
      <c r="AO2" s="103" t="s">
        <v>118</v>
      </c>
      <c r="AP2" s="103" t="s">
        <v>119</v>
      </c>
      <c r="AQ2" s="103" t="s">
        <v>120</v>
      </c>
      <c r="AR2" s="103" t="s">
        <v>121</v>
      </c>
      <c r="AS2" s="103" t="s">
        <v>122</v>
      </c>
      <c r="AT2" s="103" t="s">
        <v>123</v>
      </c>
      <c r="AU2" s="103" t="s">
        <v>203</v>
      </c>
      <c r="AV2" s="103" t="s">
        <v>124</v>
      </c>
      <c r="AW2" s="103" t="s">
        <v>125</v>
      </c>
      <c r="AX2" s="103" t="s">
        <v>126</v>
      </c>
      <c r="AY2" s="103" t="s">
        <v>127</v>
      </c>
      <c r="AZ2" s="103" t="s">
        <v>216</v>
      </c>
      <c r="BA2" s="103" t="s">
        <v>218</v>
      </c>
      <c r="BB2" s="104" t="s">
        <v>165</v>
      </c>
    </row>
    <row r="3" spans="1:54" ht="16.5" thickBot="1">
      <c r="A3" s="52"/>
      <c r="B3" s="53"/>
      <c r="C3" s="48"/>
      <c r="D3" s="54"/>
      <c r="E3" s="107"/>
      <c r="F3" s="107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s="55" customFormat="1" ht="21.75" thickBot="1">
      <c r="A4" s="360" t="s">
        <v>54</v>
      </c>
      <c r="B4" s="361"/>
      <c r="C4" s="361"/>
      <c r="D4" s="162"/>
      <c r="E4" s="110">
        <f t="shared" ref="E4:AJ4" si="0">SUBTOTAL(9,E5:E52)</f>
        <v>37440887.918950021</v>
      </c>
      <c r="F4" s="110">
        <f t="shared" si="0"/>
        <v>0</v>
      </c>
      <c r="G4" s="110">
        <f t="shared" si="0"/>
        <v>37440887.918949999</v>
      </c>
      <c r="H4" s="110">
        <f t="shared" si="0"/>
        <v>175442.10233491508</v>
      </c>
      <c r="I4" s="110">
        <f t="shared" si="0"/>
        <v>1109777.5773056454</v>
      </c>
      <c r="J4" s="110">
        <f t="shared" si="0"/>
        <v>690376.23261921515</v>
      </c>
      <c r="K4" s="110">
        <f t="shared" si="0"/>
        <v>484809.44277098746</v>
      </c>
      <c r="L4" s="110">
        <f t="shared" si="0"/>
        <v>4628590.9472063426</v>
      </c>
      <c r="M4" s="110">
        <f t="shared" si="0"/>
        <v>1612709.9701648515</v>
      </c>
      <c r="N4" s="110">
        <f t="shared" si="0"/>
        <v>839189.05683899298</v>
      </c>
      <c r="O4" s="110">
        <f t="shared" si="0"/>
        <v>367299.63722140115</v>
      </c>
      <c r="P4" s="110">
        <f t="shared" si="0"/>
        <v>1767094.287699691</v>
      </c>
      <c r="Q4" s="110">
        <f t="shared" si="0"/>
        <v>2211218.0798629066</v>
      </c>
      <c r="R4" s="110">
        <f t="shared" si="0"/>
        <v>4172180.8186399513</v>
      </c>
      <c r="S4" s="110">
        <f t="shared" si="0"/>
        <v>791197.63920795778</v>
      </c>
      <c r="T4" s="110">
        <f t="shared" si="0"/>
        <v>884516.46544080239</v>
      </c>
      <c r="U4" s="110">
        <f t="shared" si="0"/>
        <v>2608951.8431539815</v>
      </c>
      <c r="V4" s="110">
        <f t="shared" si="0"/>
        <v>945949.48108310415</v>
      </c>
      <c r="W4" s="110">
        <f t="shared" si="0"/>
        <v>2183545.8980551967</v>
      </c>
      <c r="X4" s="110">
        <f t="shared" si="0"/>
        <v>6900</v>
      </c>
      <c r="Y4" s="110">
        <f t="shared" si="0"/>
        <v>1337499.5944055044</v>
      </c>
      <c r="Z4" s="110">
        <f t="shared" si="0"/>
        <v>1336719.2107885685</v>
      </c>
      <c r="AA4" s="110">
        <f t="shared" si="0"/>
        <v>14328.634149985197</v>
      </c>
      <c r="AB4" s="110">
        <f t="shared" si="0"/>
        <v>10000</v>
      </c>
      <c r="AC4" s="110">
        <f>SUBTOTAL(9,AC5:AC52)</f>
        <v>0</v>
      </c>
      <c r="AD4" s="110">
        <f t="shared" si="0"/>
        <v>30000</v>
      </c>
      <c r="AE4" s="110">
        <f t="shared" si="0"/>
        <v>15000</v>
      </c>
      <c r="AF4" s="110">
        <f t="shared" si="0"/>
        <v>0</v>
      </c>
      <c r="AG4" s="110">
        <f t="shared" si="0"/>
        <v>0</v>
      </c>
      <c r="AH4" s="110">
        <f t="shared" si="0"/>
        <v>0</v>
      </c>
      <c r="AI4" s="110">
        <f t="shared" si="0"/>
        <v>0</v>
      </c>
      <c r="AJ4" s="110">
        <f t="shared" si="0"/>
        <v>0</v>
      </c>
      <c r="AK4" s="110">
        <f t="shared" ref="AK4:BB4" si="1">SUBTOTAL(9,AK5:AK52)</f>
        <v>0</v>
      </c>
      <c r="AL4" s="110">
        <f t="shared" si="1"/>
        <v>36000</v>
      </c>
      <c r="AM4" s="110">
        <f t="shared" si="1"/>
        <v>517500</v>
      </c>
      <c r="AN4" s="110">
        <f t="shared" si="1"/>
        <v>45000</v>
      </c>
      <c r="AO4" s="110">
        <f t="shared" si="1"/>
        <v>130000</v>
      </c>
      <c r="AP4" s="110">
        <f t="shared" si="1"/>
        <v>10000</v>
      </c>
      <c r="AQ4" s="110">
        <f t="shared" si="1"/>
        <v>10000</v>
      </c>
      <c r="AR4" s="110">
        <f t="shared" si="1"/>
        <v>10000</v>
      </c>
      <c r="AS4" s="110">
        <f t="shared" si="1"/>
        <v>0</v>
      </c>
      <c r="AT4" s="110">
        <f t="shared" si="1"/>
        <v>270000</v>
      </c>
      <c r="AU4" s="110">
        <f t="shared" si="1"/>
        <v>586091</v>
      </c>
      <c r="AV4" s="110">
        <f t="shared" si="1"/>
        <v>2970000</v>
      </c>
      <c r="AW4" s="110">
        <f t="shared" si="1"/>
        <v>1803000</v>
      </c>
      <c r="AX4" s="110">
        <f t="shared" si="1"/>
        <v>0</v>
      </c>
      <c r="AY4" s="110">
        <f t="shared" si="1"/>
        <v>2830000</v>
      </c>
      <c r="AZ4" s="110">
        <f t="shared" si="1"/>
        <v>0</v>
      </c>
      <c r="BA4" s="110">
        <f t="shared" si="1"/>
        <v>0</v>
      </c>
      <c r="BB4" s="109">
        <f t="shared" si="1"/>
        <v>0</v>
      </c>
    </row>
    <row r="5" spans="1:54" s="58" customFormat="1" ht="15.75">
      <c r="A5" s="56">
        <v>2400</v>
      </c>
      <c r="B5" s="57" t="s">
        <v>56</v>
      </c>
      <c r="C5" s="57"/>
      <c r="D5" s="57"/>
      <c r="E5" s="111">
        <f t="shared" ref="E5:AJ5" si="2">SUBTOTAL(9,E6:E34)</f>
        <v>37239887.918950021</v>
      </c>
      <c r="F5" s="111">
        <f t="shared" si="2"/>
        <v>0</v>
      </c>
      <c r="G5" s="111">
        <f t="shared" si="2"/>
        <v>37239887.918949999</v>
      </c>
      <c r="H5" s="111">
        <f t="shared" si="2"/>
        <v>175442.10233491508</v>
      </c>
      <c r="I5" s="111">
        <f t="shared" si="2"/>
        <v>1109777.5773056454</v>
      </c>
      <c r="J5" s="111">
        <f t="shared" si="2"/>
        <v>630376.23261921515</v>
      </c>
      <c r="K5" s="111">
        <f t="shared" si="2"/>
        <v>484809.44277098746</v>
      </c>
      <c r="L5" s="111">
        <f t="shared" si="2"/>
        <v>4628590.9472063426</v>
      </c>
      <c r="M5" s="111">
        <f t="shared" si="2"/>
        <v>1612709.9701648515</v>
      </c>
      <c r="N5" s="111">
        <f t="shared" si="2"/>
        <v>839189.05683899298</v>
      </c>
      <c r="O5" s="111">
        <f t="shared" si="2"/>
        <v>367299.63722140115</v>
      </c>
      <c r="P5" s="111">
        <f t="shared" si="2"/>
        <v>1767094.287699691</v>
      </c>
      <c r="Q5" s="111">
        <f t="shared" si="2"/>
        <v>2166218.0798629066</v>
      </c>
      <c r="R5" s="111">
        <f t="shared" si="2"/>
        <v>4172180.8186399513</v>
      </c>
      <c r="S5" s="111">
        <f t="shared" si="2"/>
        <v>791197.63920795778</v>
      </c>
      <c r="T5" s="111">
        <f t="shared" si="2"/>
        <v>884516.46544080239</v>
      </c>
      <c r="U5" s="111">
        <f t="shared" si="2"/>
        <v>2608951.8431539815</v>
      </c>
      <c r="V5" s="111">
        <f t="shared" si="2"/>
        <v>945949.48108310415</v>
      </c>
      <c r="W5" s="111">
        <f t="shared" si="2"/>
        <v>2183545.8980551967</v>
      </c>
      <c r="X5" s="111">
        <f t="shared" si="2"/>
        <v>6900</v>
      </c>
      <c r="Y5" s="111">
        <f t="shared" si="2"/>
        <v>1337499.5944055044</v>
      </c>
      <c r="Z5" s="111">
        <f t="shared" si="2"/>
        <v>1334719.2107885685</v>
      </c>
      <c r="AA5" s="111">
        <f t="shared" si="2"/>
        <v>14328.634149985197</v>
      </c>
      <c r="AB5" s="111">
        <f t="shared" si="2"/>
        <v>10000</v>
      </c>
      <c r="AC5" s="111">
        <f>SUBTOTAL(9,AC6:AC34)</f>
        <v>0</v>
      </c>
      <c r="AD5" s="111">
        <f t="shared" si="2"/>
        <v>30000</v>
      </c>
      <c r="AE5" s="111">
        <f t="shared" si="2"/>
        <v>15000</v>
      </c>
      <c r="AF5" s="111">
        <f t="shared" si="2"/>
        <v>0</v>
      </c>
      <c r="AG5" s="111">
        <f t="shared" si="2"/>
        <v>0</v>
      </c>
      <c r="AH5" s="111">
        <f t="shared" si="2"/>
        <v>0</v>
      </c>
      <c r="AI5" s="111">
        <f t="shared" si="2"/>
        <v>0</v>
      </c>
      <c r="AJ5" s="111">
        <f t="shared" si="2"/>
        <v>0</v>
      </c>
      <c r="AK5" s="111">
        <f t="shared" ref="AK5:BB5" si="3">SUBTOTAL(9,AK6:AK34)</f>
        <v>0</v>
      </c>
      <c r="AL5" s="111">
        <f t="shared" si="3"/>
        <v>36000</v>
      </c>
      <c r="AM5" s="111">
        <f t="shared" si="3"/>
        <v>694000</v>
      </c>
      <c r="AN5" s="111">
        <f t="shared" si="3"/>
        <v>45000</v>
      </c>
      <c r="AO5" s="111">
        <f t="shared" si="3"/>
        <v>130000</v>
      </c>
      <c r="AP5" s="111">
        <f t="shared" si="3"/>
        <v>10000</v>
      </c>
      <c r="AQ5" s="111">
        <f t="shared" si="3"/>
        <v>10000</v>
      </c>
      <c r="AR5" s="111">
        <f t="shared" si="3"/>
        <v>10000</v>
      </c>
      <c r="AS5" s="111">
        <f t="shared" si="3"/>
        <v>0</v>
      </c>
      <c r="AT5" s="111">
        <f t="shared" si="3"/>
        <v>20000</v>
      </c>
      <c r="AU5" s="111">
        <f t="shared" si="3"/>
        <v>598591</v>
      </c>
      <c r="AV5" s="111">
        <f t="shared" si="3"/>
        <v>2970000</v>
      </c>
      <c r="AW5" s="111">
        <f t="shared" si="3"/>
        <v>1800000</v>
      </c>
      <c r="AX5" s="111">
        <f t="shared" si="3"/>
        <v>0</v>
      </c>
      <c r="AY5" s="111">
        <f t="shared" si="3"/>
        <v>2800000</v>
      </c>
      <c r="AZ5" s="111">
        <f t="shared" si="3"/>
        <v>0</v>
      </c>
      <c r="BA5" s="111">
        <f t="shared" si="3"/>
        <v>0</v>
      </c>
      <c r="BB5" s="111">
        <f t="shared" si="3"/>
        <v>0</v>
      </c>
    </row>
    <row r="6" spans="1:54" s="58" customFormat="1" ht="15.75">
      <c r="A6" s="1"/>
      <c r="B6" s="2">
        <v>2404</v>
      </c>
      <c r="C6" s="3" t="s">
        <v>69</v>
      </c>
      <c r="D6" s="3"/>
      <c r="E6" s="112">
        <f t="shared" ref="E6:AJ6" si="4">SUBTOTAL(9,E7:E32)</f>
        <v>34025887.918950021</v>
      </c>
      <c r="F6" s="112">
        <f t="shared" si="4"/>
        <v>0</v>
      </c>
      <c r="G6" s="112">
        <f t="shared" si="4"/>
        <v>34025887.918949999</v>
      </c>
      <c r="H6" s="112">
        <f t="shared" si="4"/>
        <v>175442.10233491508</v>
      </c>
      <c r="I6" s="112">
        <f t="shared" si="4"/>
        <v>1109777.5773056454</v>
      </c>
      <c r="J6" s="112">
        <f t="shared" si="4"/>
        <v>630376.23261921515</v>
      </c>
      <c r="K6" s="112">
        <f t="shared" si="4"/>
        <v>484809.44277098746</v>
      </c>
      <c r="L6" s="112">
        <f t="shared" si="4"/>
        <v>4628590.9472063426</v>
      </c>
      <c r="M6" s="112">
        <f t="shared" si="4"/>
        <v>1612709.9701648515</v>
      </c>
      <c r="N6" s="112">
        <f t="shared" si="4"/>
        <v>839189.05683899298</v>
      </c>
      <c r="O6" s="112">
        <f t="shared" si="4"/>
        <v>367299.63722140115</v>
      </c>
      <c r="P6" s="112">
        <f t="shared" si="4"/>
        <v>1767094.287699691</v>
      </c>
      <c r="Q6" s="112">
        <f t="shared" si="4"/>
        <v>2166218.0798629066</v>
      </c>
      <c r="R6" s="112">
        <f t="shared" si="4"/>
        <v>4167180.8186399513</v>
      </c>
      <c r="S6" s="112">
        <f t="shared" si="4"/>
        <v>791197.63920795778</v>
      </c>
      <c r="T6" s="112">
        <f t="shared" si="4"/>
        <v>884516.46544080239</v>
      </c>
      <c r="U6" s="112">
        <f t="shared" si="4"/>
        <v>2608951.8431539815</v>
      </c>
      <c r="V6" s="112">
        <f t="shared" si="4"/>
        <v>945949.48108310415</v>
      </c>
      <c r="W6" s="112">
        <f t="shared" si="4"/>
        <v>2183545.8980551967</v>
      </c>
      <c r="X6" s="112">
        <f t="shared" si="4"/>
        <v>6900</v>
      </c>
      <c r="Y6" s="112">
        <f t="shared" si="4"/>
        <v>1247499.5944055044</v>
      </c>
      <c r="Z6" s="112">
        <f t="shared" si="4"/>
        <v>839719.21078856848</v>
      </c>
      <c r="AA6" s="112">
        <f t="shared" si="4"/>
        <v>14328.634149985197</v>
      </c>
      <c r="AB6" s="112">
        <f t="shared" si="4"/>
        <v>10000</v>
      </c>
      <c r="AC6" s="112">
        <f>SUBTOTAL(9,AC7:AC32)</f>
        <v>0</v>
      </c>
      <c r="AD6" s="112">
        <f t="shared" si="4"/>
        <v>30000</v>
      </c>
      <c r="AE6" s="112">
        <f t="shared" si="4"/>
        <v>15000</v>
      </c>
      <c r="AF6" s="112">
        <f t="shared" si="4"/>
        <v>0</v>
      </c>
      <c r="AG6" s="112">
        <f t="shared" si="4"/>
        <v>0</v>
      </c>
      <c r="AH6" s="112">
        <f t="shared" si="4"/>
        <v>0</v>
      </c>
      <c r="AI6" s="112">
        <f t="shared" si="4"/>
        <v>0</v>
      </c>
      <c r="AJ6" s="112">
        <f t="shared" si="4"/>
        <v>0</v>
      </c>
      <c r="AK6" s="112">
        <f t="shared" ref="AK6:BB6" si="5">SUBTOTAL(9,AK7:AK32)</f>
        <v>0</v>
      </c>
      <c r="AL6" s="112">
        <f t="shared" si="5"/>
        <v>36000</v>
      </c>
      <c r="AM6" s="112">
        <f t="shared" si="5"/>
        <v>392000</v>
      </c>
      <c r="AN6" s="112">
        <f t="shared" si="5"/>
        <v>45000</v>
      </c>
      <c r="AO6" s="112">
        <f t="shared" si="5"/>
        <v>130000</v>
      </c>
      <c r="AP6" s="112">
        <f t="shared" si="5"/>
        <v>10000</v>
      </c>
      <c r="AQ6" s="112">
        <f t="shared" si="5"/>
        <v>10000</v>
      </c>
      <c r="AR6" s="112">
        <f t="shared" si="5"/>
        <v>10000</v>
      </c>
      <c r="AS6" s="112">
        <f t="shared" si="5"/>
        <v>0</v>
      </c>
      <c r="AT6" s="112">
        <f t="shared" si="5"/>
        <v>20000</v>
      </c>
      <c r="AU6" s="112">
        <f t="shared" si="5"/>
        <v>576591</v>
      </c>
      <c r="AV6" s="112">
        <f t="shared" si="5"/>
        <v>670000</v>
      </c>
      <c r="AW6" s="112">
        <f t="shared" si="5"/>
        <v>1800000</v>
      </c>
      <c r="AX6" s="112">
        <f t="shared" si="5"/>
        <v>0</v>
      </c>
      <c r="AY6" s="112">
        <f t="shared" si="5"/>
        <v>2800000</v>
      </c>
      <c r="AZ6" s="112">
        <f t="shared" si="5"/>
        <v>0</v>
      </c>
      <c r="BA6" s="112">
        <f t="shared" si="5"/>
        <v>0</v>
      </c>
      <c r="BB6" s="112">
        <f t="shared" si="5"/>
        <v>0</v>
      </c>
    </row>
    <row r="7" spans="1:54" s="58" customFormat="1" ht="29.45" customHeight="1">
      <c r="A7" s="1"/>
      <c r="B7" s="358" t="s">
        <v>168</v>
      </c>
      <c r="C7" s="358"/>
      <c r="D7" s="59">
        <v>0.25</v>
      </c>
      <c r="E7" s="112">
        <f t="shared" ref="E7:AJ7" si="6">SUBTOTAL(9,E8:E16)</f>
        <v>24239856.918950025</v>
      </c>
      <c r="F7" s="112">
        <f t="shared" si="6"/>
        <v>0</v>
      </c>
      <c r="G7" s="112">
        <f t="shared" si="6"/>
        <v>24239856.918949999</v>
      </c>
      <c r="H7" s="112">
        <f t="shared" si="6"/>
        <v>147962.10233491508</v>
      </c>
      <c r="I7" s="112">
        <f t="shared" si="6"/>
        <v>1007627.5773056454</v>
      </c>
      <c r="J7" s="112">
        <f t="shared" si="6"/>
        <v>570946.23261921515</v>
      </c>
      <c r="K7" s="112">
        <f t="shared" si="6"/>
        <v>423299.44277098746</v>
      </c>
      <c r="L7" s="112">
        <f t="shared" si="6"/>
        <v>4581490.9472063426</v>
      </c>
      <c r="M7" s="112">
        <f t="shared" si="6"/>
        <v>1553919.9701648515</v>
      </c>
      <c r="N7" s="112">
        <f t="shared" si="6"/>
        <v>783579.05683899298</v>
      </c>
      <c r="O7" s="112">
        <f t="shared" si="6"/>
        <v>340379.63722140115</v>
      </c>
      <c r="P7" s="112">
        <f t="shared" si="6"/>
        <v>1667014.287699691</v>
      </c>
      <c r="Q7" s="112">
        <f t="shared" si="6"/>
        <v>2079928.0798629066</v>
      </c>
      <c r="R7" s="112">
        <f t="shared" si="6"/>
        <v>3882450.8186399513</v>
      </c>
      <c r="S7" s="112">
        <f t="shared" si="6"/>
        <v>726697.63920795778</v>
      </c>
      <c r="T7" s="112">
        <f t="shared" si="6"/>
        <v>845546.46544080239</v>
      </c>
      <c r="U7" s="112">
        <f t="shared" si="6"/>
        <v>2526271.8431539815</v>
      </c>
      <c r="V7" s="112">
        <f t="shared" si="6"/>
        <v>928369.48108310415</v>
      </c>
      <c r="W7" s="112">
        <f t="shared" si="6"/>
        <v>2130925.8980551967</v>
      </c>
      <c r="X7" s="112">
        <f t="shared" si="6"/>
        <v>3900</v>
      </c>
      <c r="Y7" s="112">
        <f t="shared" si="6"/>
        <v>7499.5944055043365</v>
      </c>
      <c r="Z7" s="112">
        <f t="shared" si="6"/>
        <v>17719.210788568489</v>
      </c>
      <c r="AA7" s="112">
        <f t="shared" si="6"/>
        <v>14328.634149985197</v>
      </c>
      <c r="AB7" s="112">
        <f t="shared" si="6"/>
        <v>0</v>
      </c>
      <c r="AC7" s="112">
        <f t="shared" si="6"/>
        <v>0</v>
      </c>
      <c r="AD7" s="112">
        <f t="shared" si="6"/>
        <v>0</v>
      </c>
      <c r="AE7" s="112">
        <f t="shared" si="6"/>
        <v>0</v>
      </c>
      <c r="AF7" s="112">
        <f t="shared" si="6"/>
        <v>0</v>
      </c>
      <c r="AG7" s="112">
        <f t="shared" si="6"/>
        <v>0</v>
      </c>
      <c r="AH7" s="112">
        <f t="shared" si="6"/>
        <v>0</v>
      </c>
      <c r="AI7" s="112">
        <f t="shared" si="6"/>
        <v>0</v>
      </c>
      <c r="AJ7" s="112">
        <f t="shared" si="6"/>
        <v>0</v>
      </c>
      <c r="AK7" s="112">
        <f t="shared" ref="AK7:BB7" si="7">SUBTOTAL(9,AK8:AK16)</f>
        <v>0</v>
      </c>
      <c r="AL7" s="112">
        <f t="shared" si="7"/>
        <v>0</v>
      </c>
      <c r="AM7" s="112">
        <f t="shared" si="7"/>
        <v>0</v>
      </c>
      <c r="AN7" s="112">
        <f t="shared" si="7"/>
        <v>0</v>
      </c>
      <c r="AO7" s="112">
        <f t="shared" si="7"/>
        <v>0</v>
      </c>
      <c r="AP7" s="112">
        <f t="shared" si="7"/>
        <v>0</v>
      </c>
      <c r="AQ7" s="112">
        <f t="shared" si="7"/>
        <v>0</v>
      </c>
      <c r="AR7" s="112">
        <f t="shared" si="7"/>
        <v>0</v>
      </c>
      <c r="AS7" s="112">
        <f t="shared" si="7"/>
        <v>0</v>
      </c>
      <c r="AT7" s="112">
        <f t="shared" si="7"/>
        <v>0</v>
      </c>
      <c r="AU7" s="112">
        <f t="shared" si="7"/>
        <v>0</v>
      </c>
      <c r="AV7" s="112">
        <f t="shared" si="7"/>
        <v>0</v>
      </c>
      <c r="AW7" s="112">
        <f t="shared" si="7"/>
        <v>0</v>
      </c>
      <c r="AX7" s="112">
        <f t="shared" si="7"/>
        <v>0</v>
      </c>
      <c r="AY7" s="112">
        <f t="shared" si="7"/>
        <v>0</v>
      </c>
      <c r="AZ7" s="112">
        <f t="shared" si="7"/>
        <v>0</v>
      </c>
      <c r="BA7" s="112">
        <f t="shared" si="7"/>
        <v>0</v>
      </c>
      <c r="BB7" s="112">
        <f t="shared" si="7"/>
        <v>0</v>
      </c>
    </row>
    <row r="8" spans="1:54" s="58" customFormat="1" ht="47.25">
      <c r="A8" s="1"/>
      <c r="B8" s="2"/>
      <c r="C8" s="3" t="s">
        <v>207</v>
      </c>
      <c r="D8" s="59"/>
      <c r="E8" s="183">
        <v>16894594.38145002</v>
      </c>
      <c r="F8" s="183">
        <f>E8-G8</f>
        <v>0</v>
      </c>
      <c r="G8" s="184">
        <f t="shared" ref="G8:BB8" si="8">SUBTOTAL(9,G9:G11)</f>
        <v>16894594.381449997</v>
      </c>
      <c r="H8" s="184">
        <f t="shared" si="8"/>
        <v>65054.545846199238</v>
      </c>
      <c r="I8" s="184">
        <f t="shared" si="8"/>
        <v>690365.37555717293</v>
      </c>
      <c r="J8" s="184">
        <f t="shared" si="8"/>
        <v>368417.71103899594</v>
      </c>
      <c r="K8" s="184">
        <f t="shared" si="8"/>
        <v>327879.15166575444</v>
      </c>
      <c r="L8" s="184">
        <f t="shared" si="8"/>
        <v>4573185.2699956652</v>
      </c>
      <c r="M8" s="184">
        <f t="shared" si="8"/>
        <v>500507.82382915594</v>
      </c>
      <c r="N8" s="184">
        <f t="shared" si="8"/>
        <v>628322.31566956267</v>
      </c>
      <c r="O8" s="184">
        <f t="shared" si="8"/>
        <v>197510.78187566885</v>
      </c>
      <c r="P8" s="184">
        <f t="shared" si="8"/>
        <v>1348101.9061023272</v>
      </c>
      <c r="Q8" s="184">
        <f t="shared" si="8"/>
        <v>1674852.7517563722</v>
      </c>
      <c r="R8" s="184">
        <f t="shared" si="8"/>
        <v>1170364.889830583</v>
      </c>
      <c r="S8" s="184">
        <f t="shared" si="8"/>
        <v>430148.8936192884</v>
      </c>
      <c r="T8" s="184">
        <f t="shared" si="8"/>
        <v>708996.35086680576</v>
      </c>
      <c r="U8" s="184">
        <f t="shared" si="8"/>
        <v>1358626.5817871171</v>
      </c>
      <c r="V8" s="184">
        <f t="shared" si="8"/>
        <v>866170.0568886511</v>
      </c>
      <c r="W8" s="184">
        <f t="shared" si="8"/>
        <v>1954245.4590023013</v>
      </c>
      <c r="X8" s="184">
        <f t="shared" si="8"/>
        <v>0</v>
      </c>
      <c r="Y8" s="184">
        <f t="shared" si="8"/>
        <v>5549.5944055043365</v>
      </c>
      <c r="Z8" s="184">
        <f t="shared" si="8"/>
        <v>15511.268234374034</v>
      </c>
      <c r="AA8" s="184">
        <f t="shared" si="8"/>
        <v>10783.653478499666</v>
      </c>
      <c r="AB8" s="184">
        <f t="shared" si="8"/>
        <v>0</v>
      </c>
      <c r="AC8" s="184">
        <f t="shared" si="8"/>
        <v>0</v>
      </c>
      <c r="AD8" s="184">
        <f t="shared" si="8"/>
        <v>0</v>
      </c>
      <c r="AE8" s="184">
        <f t="shared" si="8"/>
        <v>0</v>
      </c>
      <c r="AF8" s="184">
        <f t="shared" si="8"/>
        <v>0</v>
      </c>
      <c r="AG8" s="184">
        <f t="shared" si="8"/>
        <v>0</v>
      </c>
      <c r="AH8" s="184">
        <f t="shared" si="8"/>
        <v>0</v>
      </c>
      <c r="AI8" s="184">
        <f t="shared" si="8"/>
        <v>0</v>
      </c>
      <c r="AJ8" s="184">
        <f t="shared" si="8"/>
        <v>0</v>
      </c>
      <c r="AK8" s="184">
        <f t="shared" si="8"/>
        <v>0</v>
      </c>
      <c r="AL8" s="184">
        <f t="shared" si="8"/>
        <v>0</v>
      </c>
      <c r="AM8" s="184">
        <f t="shared" si="8"/>
        <v>0</v>
      </c>
      <c r="AN8" s="184">
        <f t="shared" si="8"/>
        <v>0</v>
      </c>
      <c r="AO8" s="184">
        <f t="shared" si="8"/>
        <v>0</v>
      </c>
      <c r="AP8" s="184">
        <f t="shared" si="8"/>
        <v>0</v>
      </c>
      <c r="AQ8" s="184">
        <f t="shared" si="8"/>
        <v>0</v>
      </c>
      <c r="AR8" s="184">
        <f t="shared" si="8"/>
        <v>0</v>
      </c>
      <c r="AS8" s="184">
        <f t="shared" si="8"/>
        <v>0</v>
      </c>
      <c r="AT8" s="184">
        <f t="shared" si="8"/>
        <v>0</v>
      </c>
      <c r="AU8" s="184">
        <f t="shared" si="8"/>
        <v>0</v>
      </c>
      <c r="AV8" s="184">
        <f t="shared" si="8"/>
        <v>0</v>
      </c>
      <c r="AW8" s="184">
        <f t="shared" si="8"/>
        <v>0</v>
      </c>
      <c r="AX8" s="184">
        <f t="shared" si="8"/>
        <v>0</v>
      </c>
      <c r="AY8" s="184">
        <f t="shared" si="8"/>
        <v>0</v>
      </c>
      <c r="AZ8" s="184">
        <f t="shared" si="8"/>
        <v>0</v>
      </c>
      <c r="BA8" s="184">
        <f t="shared" si="8"/>
        <v>0</v>
      </c>
      <c r="BB8" s="184">
        <f t="shared" si="8"/>
        <v>0</v>
      </c>
    </row>
    <row r="9" spans="1:54" s="176" customFormat="1" ht="15.75">
      <c r="A9" s="207"/>
      <c r="B9" s="4"/>
      <c r="C9" s="172" t="s">
        <v>209</v>
      </c>
      <c r="D9" s="173"/>
      <c r="E9" s="174"/>
      <c r="F9" s="174"/>
      <c r="G9" s="113">
        <f t="shared" ref="G9:G10" si="9">SUM(H9:BB9)</f>
        <v>16894594.381449997</v>
      </c>
      <c r="H9" s="175">
        <v>65643.999999999985</v>
      </c>
      <c r="I9" s="175">
        <v>739428.9800000001</v>
      </c>
      <c r="J9" s="175">
        <v>453962.71700000006</v>
      </c>
      <c r="K9" s="175">
        <v>348982.00000000006</v>
      </c>
      <c r="L9" s="175">
        <v>4595370.1912499992</v>
      </c>
      <c r="M9" s="175">
        <v>495082.91199999995</v>
      </c>
      <c r="N9" s="175">
        <v>857686.23900000018</v>
      </c>
      <c r="O9" s="175">
        <v>165426.478</v>
      </c>
      <c r="P9" s="175">
        <v>1072316.5425</v>
      </c>
      <c r="Q9" s="175">
        <v>1603173.4779999999</v>
      </c>
      <c r="R9" s="175">
        <v>1200922.1950000001</v>
      </c>
      <c r="S9" s="175">
        <v>480177</v>
      </c>
      <c r="T9" s="175">
        <v>545243.47799999989</v>
      </c>
      <c r="U9" s="175">
        <v>1282684.4884999997</v>
      </c>
      <c r="V9" s="175">
        <v>916609.5101999999</v>
      </c>
      <c r="W9" s="175">
        <v>2071884.1720000003</v>
      </c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</row>
    <row r="10" spans="1:54" s="176" customFormat="1" ht="47.25">
      <c r="A10" s="207"/>
      <c r="B10" s="4"/>
      <c r="C10" s="172" t="s">
        <v>211</v>
      </c>
      <c r="D10" s="173"/>
      <c r="E10" s="174"/>
      <c r="F10" s="174"/>
      <c r="G10" s="175">
        <f t="shared" si="9"/>
        <v>-1556245.5045088786</v>
      </c>
      <c r="H10" s="175">
        <v>-1932.2457210511784</v>
      </c>
      <c r="I10" s="175">
        <v>-179025.36704626738</v>
      </c>
      <c r="J10" s="175">
        <v>-111553.48481049936</v>
      </c>
      <c r="K10" s="175">
        <v>-60875.480085738411</v>
      </c>
      <c r="L10" s="175">
        <v>-38200.740948808379</v>
      </c>
      <c r="M10" s="175">
        <v>-95559.314852476993</v>
      </c>
      <c r="N10" s="175">
        <v>-247678.32411315793</v>
      </c>
      <c r="O10" s="175">
        <v>-20877.960114102287</v>
      </c>
      <c r="P10" s="175">
        <v>-126331.73734140804</v>
      </c>
      <c r="Q10" s="175">
        <v>-48502.414870753884</v>
      </c>
      <c r="R10" s="175">
        <v>-63636.636378156021</v>
      </c>
      <c r="S10" s="175">
        <v>-89845.902614411258</v>
      </c>
      <c r="T10" s="175">
        <v>-25558.397907491599</v>
      </c>
      <c r="U10" s="175">
        <v>-127106.9321784894</v>
      </c>
      <c r="V10" s="175">
        <v>-146633.34208198171</v>
      </c>
      <c r="W10" s="175">
        <v>-172927.22344408464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</row>
    <row r="11" spans="1:54" s="352" customFormat="1" ht="31.5">
      <c r="A11" s="346"/>
      <c r="B11" s="347"/>
      <c r="C11" s="348" t="s">
        <v>282</v>
      </c>
      <c r="D11" s="349"/>
      <c r="E11" s="350"/>
      <c r="F11" s="350"/>
      <c r="G11" s="351">
        <f t="shared" ref="G11" si="10">SUM(H11:BB11)</f>
        <v>1556245.5045088786</v>
      </c>
      <c r="H11" s="351">
        <v>1342.7915672504314</v>
      </c>
      <c r="I11" s="351">
        <v>129961.76260344021</v>
      </c>
      <c r="J11" s="351">
        <v>26008.478849495237</v>
      </c>
      <c r="K11" s="351">
        <v>39772.631751492794</v>
      </c>
      <c r="L11" s="351">
        <v>16015.819694474339</v>
      </c>
      <c r="M11" s="351">
        <v>100984.22668163298</v>
      </c>
      <c r="N11" s="351">
        <v>18314.400782720419</v>
      </c>
      <c r="O11" s="351">
        <v>52962.263989771134</v>
      </c>
      <c r="P11" s="351">
        <v>402117.10094373522</v>
      </c>
      <c r="Q11" s="351">
        <v>120181.68862712616</v>
      </c>
      <c r="R11" s="351">
        <v>33079.331208738964</v>
      </c>
      <c r="S11" s="351">
        <v>39817.796233699657</v>
      </c>
      <c r="T11" s="351">
        <v>189311.27077429747</v>
      </c>
      <c r="U11" s="351">
        <v>203049.02546560671</v>
      </c>
      <c r="V11" s="351">
        <v>96193.888770632911</v>
      </c>
      <c r="W11" s="351">
        <v>55288.510446385713</v>
      </c>
      <c r="X11" s="351">
        <v>0</v>
      </c>
      <c r="Y11" s="351">
        <v>5549.5944055043365</v>
      </c>
      <c r="Z11" s="351">
        <v>15511.268234374034</v>
      </c>
      <c r="AA11" s="351">
        <v>10783.653478499666</v>
      </c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</row>
    <row r="12" spans="1:54" s="58" customFormat="1" ht="31.5">
      <c r="A12" s="1"/>
      <c r="B12" s="2"/>
      <c r="C12" s="3" t="s">
        <v>195</v>
      </c>
      <c r="D12" s="59"/>
      <c r="E12" s="183">
        <v>6798564.8770000022</v>
      </c>
      <c r="F12" s="183">
        <f t="shared" ref="F12:F52" si="11">E12-G12</f>
        <v>0</v>
      </c>
      <c r="G12" s="184">
        <f t="shared" ref="G12:BB12" si="12">SUBTOTAL(9,G13:G15)</f>
        <v>6798564.8770000013</v>
      </c>
      <c r="H12" s="184">
        <f t="shared" si="12"/>
        <v>65829.023988715853</v>
      </c>
      <c r="I12" s="184">
        <f t="shared" si="12"/>
        <v>316162.20174847252</v>
      </c>
      <c r="J12" s="184">
        <f t="shared" si="12"/>
        <v>191128.52158021921</v>
      </c>
      <c r="K12" s="184">
        <f t="shared" si="12"/>
        <v>80728.221665233024</v>
      </c>
      <c r="L12" s="184">
        <f t="shared" si="12"/>
        <v>8305.6772106773115</v>
      </c>
      <c r="M12" s="184">
        <f t="shared" si="12"/>
        <v>1024655.1358356954</v>
      </c>
      <c r="N12" s="184">
        <f t="shared" si="12"/>
        <v>149856.74116943032</v>
      </c>
      <c r="O12" s="184">
        <f t="shared" si="12"/>
        <v>135418.8553457323</v>
      </c>
      <c r="P12" s="184">
        <f t="shared" si="12"/>
        <v>289829.61009736353</v>
      </c>
      <c r="Q12" s="184">
        <f t="shared" si="12"/>
        <v>377411.1981065342</v>
      </c>
      <c r="R12" s="184">
        <f t="shared" si="12"/>
        <v>2492715.9288093681</v>
      </c>
      <c r="S12" s="184">
        <f t="shared" si="12"/>
        <v>285548.74558866932</v>
      </c>
      <c r="T12" s="184">
        <f t="shared" si="12"/>
        <v>121507.69033157236</v>
      </c>
      <c r="U12" s="184">
        <f t="shared" si="12"/>
        <v>1034054.2843668645</v>
      </c>
      <c r="V12" s="184">
        <f t="shared" si="12"/>
        <v>56699.42419445292</v>
      </c>
      <c r="W12" s="184">
        <f t="shared" si="12"/>
        <v>163780.43905289547</v>
      </c>
      <c r="X12" s="184">
        <f t="shared" si="12"/>
        <v>0</v>
      </c>
      <c r="Y12" s="184">
        <f t="shared" si="12"/>
        <v>0</v>
      </c>
      <c r="Z12" s="184">
        <f t="shared" si="12"/>
        <v>2000.3667966186983</v>
      </c>
      <c r="AA12" s="184">
        <f t="shared" si="12"/>
        <v>2932.8111114855315</v>
      </c>
      <c r="AB12" s="184">
        <f t="shared" si="12"/>
        <v>0</v>
      </c>
      <c r="AC12" s="184">
        <f t="shared" si="12"/>
        <v>0</v>
      </c>
      <c r="AD12" s="184">
        <f t="shared" si="12"/>
        <v>0</v>
      </c>
      <c r="AE12" s="184">
        <f t="shared" si="12"/>
        <v>0</v>
      </c>
      <c r="AF12" s="184">
        <f t="shared" si="12"/>
        <v>0</v>
      </c>
      <c r="AG12" s="184">
        <f t="shared" si="12"/>
        <v>0</v>
      </c>
      <c r="AH12" s="184">
        <f t="shared" si="12"/>
        <v>0</v>
      </c>
      <c r="AI12" s="184">
        <f t="shared" si="12"/>
        <v>0</v>
      </c>
      <c r="AJ12" s="184">
        <f t="shared" si="12"/>
        <v>0</v>
      </c>
      <c r="AK12" s="184">
        <f t="shared" si="12"/>
        <v>0</v>
      </c>
      <c r="AL12" s="184">
        <f t="shared" si="12"/>
        <v>0</v>
      </c>
      <c r="AM12" s="184">
        <f t="shared" si="12"/>
        <v>0</v>
      </c>
      <c r="AN12" s="184">
        <f t="shared" si="12"/>
        <v>0</v>
      </c>
      <c r="AO12" s="184">
        <f t="shared" si="12"/>
        <v>0</v>
      </c>
      <c r="AP12" s="184">
        <f t="shared" si="12"/>
        <v>0</v>
      </c>
      <c r="AQ12" s="184">
        <f t="shared" si="12"/>
        <v>0</v>
      </c>
      <c r="AR12" s="184">
        <f t="shared" si="12"/>
        <v>0</v>
      </c>
      <c r="AS12" s="184">
        <f t="shared" si="12"/>
        <v>0</v>
      </c>
      <c r="AT12" s="184">
        <f t="shared" si="12"/>
        <v>0</v>
      </c>
      <c r="AU12" s="184">
        <f t="shared" si="12"/>
        <v>0</v>
      </c>
      <c r="AV12" s="184">
        <f t="shared" si="12"/>
        <v>0</v>
      </c>
      <c r="AW12" s="184">
        <f t="shared" si="12"/>
        <v>0</v>
      </c>
      <c r="AX12" s="184">
        <f t="shared" si="12"/>
        <v>0</v>
      </c>
      <c r="AY12" s="184">
        <f t="shared" si="12"/>
        <v>0</v>
      </c>
      <c r="AZ12" s="184">
        <f t="shared" si="12"/>
        <v>0</v>
      </c>
      <c r="BA12" s="184">
        <f t="shared" si="12"/>
        <v>0</v>
      </c>
      <c r="BB12" s="184">
        <f t="shared" si="12"/>
        <v>0</v>
      </c>
    </row>
    <row r="13" spans="1:54" ht="15.75">
      <c r="A13" s="208"/>
      <c r="B13" s="4"/>
      <c r="C13" s="172" t="s">
        <v>209</v>
      </c>
      <c r="D13" s="60"/>
      <c r="E13" s="155"/>
      <c r="F13" s="155"/>
      <c r="G13" s="113">
        <f t="shared" ref="G13:G15" si="13">SUM(H13:BB13)</f>
        <v>6798564.8770000013</v>
      </c>
      <c r="H13" s="113">
        <v>70799.999999999985</v>
      </c>
      <c r="I13" s="113">
        <v>319761.48200000002</v>
      </c>
      <c r="J13" s="113">
        <v>205354.239</v>
      </c>
      <c r="K13" s="113">
        <v>73985</v>
      </c>
      <c r="L13" s="113">
        <v>0</v>
      </c>
      <c r="M13" s="113">
        <v>1043682.0630000001</v>
      </c>
      <c r="N13" s="113">
        <v>156400.00000000003</v>
      </c>
      <c r="O13" s="113">
        <v>137379.94549999997</v>
      </c>
      <c r="P13" s="113">
        <v>294207.31299999997</v>
      </c>
      <c r="Q13" s="113">
        <v>366794.239</v>
      </c>
      <c r="R13" s="113">
        <v>2533988.4780000006</v>
      </c>
      <c r="S13" s="113">
        <v>282900</v>
      </c>
      <c r="T13" s="113">
        <v>89882</v>
      </c>
      <c r="U13" s="113">
        <v>1044533.6395000002</v>
      </c>
      <c r="V13" s="113">
        <v>54654.239000000001</v>
      </c>
      <c r="W13" s="113">
        <v>124242.239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s="176" customFormat="1" ht="47.25">
      <c r="A14" s="207"/>
      <c r="B14" s="4"/>
      <c r="C14" s="172" t="s">
        <v>211</v>
      </c>
      <c r="D14" s="173"/>
      <c r="E14" s="174"/>
      <c r="F14" s="174"/>
      <c r="G14" s="175">
        <f t="shared" si="13"/>
        <v>-302205.91447176551</v>
      </c>
      <c r="H14" s="175">
        <v>-5674.2880064179553</v>
      </c>
      <c r="I14" s="175">
        <v>-10940.829164143011</v>
      </c>
      <c r="J14" s="175">
        <v>-21025.599236850161</v>
      </c>
      <c r="K14" s="175">
        <v>-9445.6419278150934</v>
      </c>
      <c r="L14" s="175">
        <v>0</v>
      </c>
      <c r="M14" s="175">
        <v>-50336.432759516407</v>
      </c>
      <c r="N14" s="175">
        <v>-14774.411346434121</v>
      </c>
      <c r="O14" s="175">
        <v>-9498.1553081977763</v>
      </c>
      <c r="P14" s="175">
        <v>-35069.964976996271</v>
      </c>
      <c r="Q14" s="175">
        <v>-10964.951515247463</v>
      </c>
      <c r="R14" s="175">
        <v>-49092.783130473457</v>
      </c>
      <c r="S14" s="175">
        <v>-15346.864560028363</v>
      </c>
      <c r="T14" s="175">
        <v>-6089.658794906034</v>
      </c>
      <c r="U14" s="175">
        <v>-56241.279726791312</v>
      </c>
      <c r="V14" s="175">
        <v>-2980.6642498091533</v>
      </c>
      <c r="W14" s="175">
        <v>-4724.3897681389644</v>
      </c>
      <c r="X14" s="175">
        <v>0</v>
      </c>
      <c r="Y14" s="175">
        <v>0</v>
      </c>
      <c r="Z14" s="175">
        <v>0</v>
      </c>
      <c r="AA14" s="175">
        <v>0</v>
      </c>
      <c r="AB14" s="175">
        <v>0</v>
      </c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</row>
    <row r="15" spans="1:54" s="352" customFormat="1" ht="31.5">
      <c r="A15" s="346"/>
      <c r="B15" s="347"/>
      <c r="C15" s="348" t="s">
        <v>282</v>
      </c>
      <c r="D15" s="349"/>
      <c r="E15" s="350"/>
      <c r="F15" s="350"/>
      <c r="G15" s="351">
        <f t="shared" si="13"/>
        <v>302205.91447176522</v>
      </c>
      <c r="H15" s="351">
        <v>703.31199513382307</v>
      </c>
      <c r="I15" s="351">
        <v>7341.5489126155153</v>
      </c>
      <c r="J15" s="351">
        <v>6799.8818170693703</v>
      </c>
      <c r="K15" s="351">
        <v>16188.863593048118</v>
      </c>
      <c r="L15" s="351">
        <v>8305.6772106773115</v>
      </c>
      <c r="M15" s="351">
        <v>31309.505595211755</v>
      </c>
      <c r="N15" s="351">
        <v>8231.1525158644072</v>
      </c>
      <c r="O15" s="351">
        <v>7537.0651539301034</v>
      </c>
      <c r="P15" s="351">
        <v>30692.262074359838</v>
      </c>
      <c r="Q15" s="351">
        <v>21581.910621781659</v>
      </c>
      <c r="R15" s="351">
        <v>7820.233939840924</v>
      </c>
      <c r="S15" s="351">
        <v>17995.610148697684</v>
      </c>
      <c r="T15" s="351">
        <v>37715.349126478395</v>
      </c>
      <c r="U15" s="351">
        <v>45761.924593655625</v>
      </c>
      <c r="V15" s="351">
        <v>5025.8494442620722</v>
      </c>
      <c r="W15" s="351">
        <v>44262.589821034431</v>
      </c>
      <c r="X15" s="351">
        <v>0</v>
      </c>
      <c r="Y15" s="351">
        <v>0</v>
      </c>
      <c r="Z15" s="351">
        <v>2000.3667966186983</v>
      </c>
      <c r="AA15" s="351">
        <v>2932.8111114855315</v>
      </c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</row>
    <row r="16" spans="1:54" s="58" customFormat="1" ht="31.5">
      <c r="A16" s="1"/>
      <c r="B16" s="2"/>
      <c r="C16" s="3" t="s">
        <v>196</v>
      </c>
      <c r="D16" s="59"/>
      <c r="E16" s="183">
        <v>546697.66049999977</v>
      </c>
      <c r="F16" s="183">
        <f t="shared" si="11"/>
        <v>0</v>
      </c>
      <c r="G16" s="184">
        <f>SUM(H16:BB16)</f>
        <v>546697.6605</v>
      </c>
      <c r="H16" s="184">
        <v>17078.532500000001</v>
      </c>
      <c r="I16" s="184">
        <v>1100</v>
      </c>
      <c r="J16" s="184">
        <v>11400</v>
      </c>
      <c r="K16" s="184">
        <v>14692.069439999999</v>
      </c>
      <c r="L16" s="184">
        <v>0</v>
      </c>
      <c r="M16" s="184">
        <v>28757.0105</v>
      </c>
      <c r="N16" s="184">
        <v>5400</v>
      </c>
      <c r="O16" s="184">
        <v>7450</v>
      </c>
      <c r="P16" s="184">
        <v>29082.771500000003</v>
      </c>
      <c r="Q16" s="184">
        <v>27664.130000000005</v>
      </c>
      <c r="R16" s="184">
        <v>219370</v>
      </c>
      <c r="S16" s="184">
        <v>11000</v>
      </c>
      <c r="T16" s="184">
        <v>15042.424242424244</v>
      </c>
      <c r="U16" s="184">
        <v>133590.97700000001</v>
      </c>
      <c r="V16" s="184">
        <v>5500</v>
      </c>
      <c r="W16" s="184">
        <v>12900</v>
      </c>
      <c r="X16" s="184">
        <v>3900</v>
      </c>
      <c r="Y16" s="184">
        <v>1950</v>
      </c>
      <c r="Z16" s="184">
        <v>207.57575757575759</v>
      </c>
      <c r="AA16" s="184">
        <v>612.16956000000005</v>
      </c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</row>
    <row r="17" spans="1:54" s="58" customFormat="1" ht="15.75">
      <c r="A17" s="1"/>
      <c r="B17" s="358" t="s">
        <v>5</v>
      </c>
      <c r="C17" s="358"/>
      <c r="D17" s="61">
        <v>0.2</v>
      </c>
      <c r="E17" s="112">
        <f>SUBTOTAL(9,E18:E20)</f>
        <v>520000</v>
      </c>
      <c r="F17" s="112">
        <f>SUBTOTAL(9,F18:F20)</f>
        <v>0</v>
      </c>
      <c r="G17" s="112">
        <f t="shared" ref="G17:AX17" si="14">SUBTOTAL(9,G18:G20)</f>
        <v>520000</v>
      </c>
      <c r="H17" s="112">
        <f t="shared" si="14"/>
        <v>3420</v>
      </c>
      <c r="I17" s="112">
        <f t="shared" si="14"/>
        <v>5390</v>
      </c>
      <c r="J17" s="112">
        <f t="shared" si="14"/>
        <v>5950</v>
      </c>
      <c r="K17" s="112">
        <f t="shared" si="14"/>
        <v>5890</v>
      </c>
      <c r="L17" s="112">
        <f t="shared" si="14"/>
        <v>100</v>
      </c>
      <c r="M17" s="112">
        <f t="shared" si="14"/>
        <v>9530</v>
      </c>
      <c r="N17" s="112">
        <f t="shared" si="14"/>
        <v>4710</v>
      </c>
      <c r="O17" s="112">
        <f t="shared" si="14"/>
        <v>5860</v>
      </c>
      <c r="P17" s="112">
        <f t="shared" si="14"/>
        <v>4900</v>
      </c>
      <c r="Q17" s="112">
        <f t="shared" si="14"/>
        <v>19030</v>
      </c>
      <c r="R17" s="112">
        <f t="shared" si="14"/>
        <v>26350</v>
      </c>
      <c r="S17" s="112">
        <f t="shared" si="14"/>
        <v>4880</v>
      </c>
      <c r="T17" s="112">
        <f t="shared" si="14"/>
        <v>4850</v>
      </c>
      <c r="U17" s="112">
        <f t="shared" si="14"/>
        <v>21320</v>
      </c>
      <c r="V17" s="112">
        <f t="shared" si="14"/>
        <v>2320</v>
      </c>
      <c r="W17" s="112">
        <f t="shared" si="14"/>
        <v>3500</v>
      </c>
      <c r="X17" s="112">
        <f t="shared" si="14"/>
        <v>0</v>
      </c>
      <c r="Y17" s="112">
        <f t="shared" si="14"/>
        <v>0</v>
      </c>
      <c r="Z17" s="112">
        <f t="shared" si="14"/>
        <v>0</v>
      </c>
      <c r="AA17" s="112">
        <f t="shared" si="14"/>
        <v>0</v>
      </c>
      <c r="AB17" s="112">
        <f t="shared" si="14"/>
        <v>0</v>
      </c>
      <c r="AC17" s="112">
        <f t="shared" si="14"/>
        <v>0</v>
      </c>
      <c r="AD17" s="112">
        <f t="shared" si="14"/>
        <v>0</v>
      </c>
      <c r="AE17" s="112">
        <f t="shared" si="14"/>
        <v>0</v>
      </c>
      <c r="AF17" s="112">
        <f t="shared" si="14"/>
        <v>0</v>
      </c>
      <c r="AG17" s="112">
        <f t="shared" si="14"/>
        <v>0</v>
      </c>
      <c r="AH17" s="112">
        <f t="shared" si="14"/>
        <v>0</v>
      </c>
      <c r="AI17" s="112">
        <f t="shared" si="14"/>
        <v>0</v>
      </c>
      <c r="AJ17" s="112">
        <f t="shared" si="14"/>
        <v>0</v>
      </c>
      <c r="AK17" s="112">
        <f t="shared" si="14"/>
        <v>0</v>
      </c>
      <c r="AL17" s="112">
        <f t="shared" si="14"/>
        <v>0</v>
      </c>
      <c r="AM17" s="112">
        <f t="shared" si="14"/>
        <v>392000</v>
      </c>
      <c r="AN17" s="112">
        <f t="shared" si="14"/>
        <v>0</v>
      </c>
      <c r="AO17" s="112">
        <f t="shared" si="14"/>
        <v>0</v>
      </c>
      <c r="AP17" s="112">
        <f t="shared" si="14"/>
        <v>0</v>
      </c>
      <c r="AQ17" s="112">
        <f t="shared" si="14"/>
        <v>0</v>
      </c>
      <c r="AR17" s="112">
        <f t="shared" si="14"/>
        <v>0</v>
      </c>
      <c r="AS17" s="112">
        <f t="shared" si="14"/>
        <v>0</v>
      </c>
      <c r="AT17" s="112">
        <f t="shared" si="14"/>
        <v>0</v>
      </c>
      <c r="AU17" s="112">
        <f t="shared" si="14"/>
        <v>0</v>
      </c>
      <c r="AV17" s="112">
        <f t="shared" si="14"/>
        <v>0</v>
      </c>
      <c r="AW17" s="112">
        <f t="shared" si="14"/>
        <v>0</v>
      </c>
      <c r="AX17" s="112">
        <f t="shared" si="14"/>
        <v>0</v>
      </c>
      <c r="AY17" s="112">
        <f>SUBTOTAL(9,AY18:AY20)</f>
        <v>0</v>
      </c>
      <c r="AZ17" s="112">
        <f>SUBTOTAL(9,AZ18:AZ20)</f>
        <v>0</v>
      </c>
      <c r="BA17" s="112">
        <f>SUBTOTAL(9,BA18:BA20)</f>
        <v>0</v>
      </c>
      <c r="BB17" s="112">
        <f>SUBTOTAL(9,BB18:BB20)</f>
        <v>0</v>
      </c>
    </row>
    <row r="18" spans="1:54" ht="15.75">
      <c r="A18" s="1"/>
      <c r="B18" s="4"/>
      <c r="C18" s="5" t="s">
        <v>6</v>
      </c>
      <c r="D18" s="59"/>
      <c r="E18" s="155">
        <v>360000</v>
      </c>
      <c r="F18" s="155">
        <f t="shared" si="11"/>
        <v>0</v>
      </c>
      <c r="G18" s="113">
        <f>SUM(H18:BB18)</f>
        <v>360000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>
        <v>360000</v>
      </c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</row>
    <row r="19" spans="1:54" ht="15.75">
      <c r="A19" s="1"/>
      <c r="B19" s="4"/>
      <c r="C19" s="5" t="s">
        <v>7</v>
      </c>
      <c r="D19" s="59"/>
      <c r="E19" s="155">
        <v>120000</v>
      </c>
      <c r="F19" s="155">
        <f t="shared" si="11"/>
        <v>0</v>
      </c>
      <c r="G19" s="113">
        <f>SUM(H19:BB19)</f>
        <v>120000</v>
      </c>
      <c r="H19" s="113">
        <v>2220</v>
      </c>
      <c r="I19" s="113">
        <v>3840</v>
      </c>
      <c r="J19" s="113">
        <v>4350</v>
      </c>
      <c r="K19" s="113">
        <v>3240</v>
      </c>
      <c r="L19" s="113">
        <v>0</v>
      </c>
      <c r="M19" s="113">
        <v>7680</v>
      </c>
      <c r="N19" s="113">
        <v>2310</v>
      </c>
      <c r="O19" s="113">
        <v>3960</v>
      </c>
      <c r="P19" s="113">
        <v>3450</v>
      </c>
      <c r="Q19" s="113">
        <v>17430</v>
      </c>
      <c r="R19" s="113">
        <v>23250</v>
      </c>
      <c r="S19" s="113">
        <v>4080</v>
      </c>
      <c r="T19" s="113">
        <v>3000</v>
      </c>
      <c r="U19" s="113">
        <v>13920</v>
      </c>
      <c r="V19" s="113">
        <v>1620</v>
      </c>
      <c r="W19" s="113">
        <v>1650</v>
      </c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>
        <f>120000*0.2</f>
        <v>24000</v>
      </c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</row>
    <row r="20" spans="1:54" ht="15.75">
      <c r="A20" s="1"/>
      <c r="B20" s="4"/>
      <c r="C20" s="5" t="s">
        <v>8</v>
      </c>
      <c r="D20" s="59"/>
      <c r="E20" s="155">
        <v>40000</v>
      </c>
      <c r="F20" s="155">
        <f t="shared" si="11"/>
        <v>0</v>
      </c>
      <c r="G20" s="113">
        <f>SUM(H20:BB20)</f>
        <v>40000</v>
      </c>
      <c r="H20" s="113">
        <v>1200</v>
      </c>
      <c r="I20" s="113">
        <v>1550</v>
      </c>
      <c r="J20" s="113">
        <v>1600</v>
      </c>
      <c r="K20" s="113">
        <v>2650</v>
      </c>
      <c r="L20" s="113">
        <v>100</v>
      </c>
      <c r="M20" s="113">
        <v>1850</v>
      </c>
      <c r="N20" s="113">
        <v>2400</v>
      </c>
      <c r="O20" s="113">
        <v>1900</v>
      </c>
      <c r="P20" s="113">
        <v>1450</v>
      </c>
      <c r="Q20" s="113">
        <v>1600</v>
      </c>
      <c r="R20" s="113">
        <v>3100</v>
      </c>
      <c r="S20" s="113">
        <v>800</v>
      </c>
      <c r="T20" s="113">
        <v>1850</v>
      </c>
      <c r="U20" s="113">
        <v>7400</v>
      </c>
      <c r="V20" s="113">
        <v>700</v>
      </c>
      <c r="W20" s="113">
        <v>1850</v>
      </c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>
        <f>40000*0.2</f>
        <v>8000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</row>
    <row r="21" spans="1:54" s="58" customFormat="1" ht="15.75">
      <c r="A21" s="1"/>
      <c r="B21" s="358" t="s">
        <v>9</v>
      </c>
      <c r="C21" s="358"/>
      <c r="D21" s="61"/>
      <c r="E21" s="112">
        <f>SUBTOTAL(9,E22:E27)</f>
        <v>3108440</v>
      </c>
      <c r="F21" s="112">
        <f>SUBTOTAL(9,F22:F27)</f>
        <v>0</v>
      </c>
      <c r="G21" s="112">
        <f t="shared" ref="G21:AX21" si="15">SUBTOTAL(9,G22:G27)</f>
        <v>3108440</v>
      </c>
      <c r="H21" s="112">
        <f t="shared" si="15"/>
        <v>24060</v>
      </c>
      <c r="I21" s="112">
        <f t="shared" si="15"/>
        <v>96760</v>
      </c>
      <c r="J21" s="112">
        <f t="shared" si="15"/>
        <v>49980</v>
      </c>
      <c r="K21" s="112">
        <f t="shared" si="15"/>
        <v>55620</v>
      </c>
      <c r="L21" s="112">
        <f t="shared" si="15"/>
        <v>47000</v>
      </c>
      <c r="M21" s="112">
        <f t="shared" si="15"/>
        <v>49260</v>
      </c>
      <c r="N21" s="112">
        <f t="shared" si="15"/>
        <v>50900</v>
      </c>
      <c r="O21" s="112">
        <f t="shared" si="15"/>
        <v>21060</v>
      </c>
      <c r="P21" s="112">
        <f t="shared" si="15"/>
        <v>95180</v>
      </c>
      <c r="Q21" s="112">
        <f t="shared" si="15"/>
        <v>67260</v>
      </c>
      <c r="R21" s="112">
        <f t="shared" si="15"/>
        <v>223380</v>
      </c>
      <c r="S21" s="112">
        <f t="shared" si="15"/>
        <v>59620</v>
      </c>
      <c r="T21" s="112">
        <f t="shared" si="15"/>
        <v>34120</v>
      </c>
      <c r="U21" s="112">
        <f t="shared" si="15"/>
        <v>61360</v>
      </c>
      <c r="V21" s="112">
        <f t="shared" si="15"/>
        <v>15260</v>
      </c>
      <c r="W21" s="112">
        <f t="shared" si="15"/>
        <v>49120</v>
      </c>
      <c r="X21" s="112">
        <f t="shared" si="15"/>
        <v>500</v>
      </c>
      <c r="Y21" s="112">
        <f t="shared" si="15"/>
        <v>1230000</v>
      </c>
      <c r="Z21" s="112">
        <f t="shared" si="15"/>
        <v>822000</v>
      </c>
      <c r="AA21" s="112">
        <f t="shared" si="15"/>
        <v>0</v>
      </c>
      <c r="AB21" s="112">
        <f t="shared" si="15"/>
        <v>0</v>
      </c>
      <c r="AC21" s="112">
        <f t="shared" si="15"/>
        <v>0</v>
      </c>
      <c r="AD21" s="112">
        <f t="shared" si="15"/>
        <v>0</v>
      </c>
      <c r="AE21" s="112">
        <f t="shared" si="15"/>
        <v>0</v>
      </c>
      <c r="AF21" s="112">
        <f t="shared" si="15"/>
        <v>0</v>
      </c>
      <c r="AG21" s="112">
        <f t="shared" si="15"/>
        <v>0</v>
      </c>
      <c r="AH21" s="112">
        <f t="shared" si="15"/>
        <v>0</v>
      </c>
      <c r="AI21" s="112">
        <f t="shared" si="15"/>
        <v>0</v>
      </c>
      <c r="AJ21" s="112">
        <f t="shared" si="15"/>
        <v>0</v>
      </c>
      <c r="AK21" s="112">
        <f t="shared" si="15"/>
        <v>0</v>
      </c>
      <c r="AL21" s="112">
        <f t="shared" si="15"/>
        <v>36000</v>
      </c>
      <c r="AM21" s="112">
        <f t="shared" si="15"/>
        <v>0</v>
      </c>
      <c r="AN21" s="112">
        <f t="shared" si="15"/>
        <v>0</v>
      </c>
      <c r="AO21" s="112">
        <f t="shared" si="15"/>
        <v>0</v>
      </c>
      <c r="AP21" s="112">
        <f t="shared" si="15"/>
        <v>0</v>
      </c>
      <c r="AQ21" s="112">
        <f t="shared" si="15"/>
        <v>0</v>
      </c>
      <c r="AR21" s="112">
        <f t="shared" si="15"/>
        <v>0</v>
      </c>
      <c r="AS21" s="112">
        <f t="shared" si="15"/>
        <v>0</v>
      </c>
      <c r="AT21" s="112">
        <f t="shared" si="15"/>
        <v>20000</v>
      </c>
      <c r="AU21" s="112">
        <f t="shared" si="15"/>
        <v>0</v>
      </c>
      <c r="AV21" s="112">
        <f t="shared" si="15"/>
        <v>0</v>
      </c>
      <c r="AW21" s="112">
        <f t="shared" si="15"/>
        <v>0</v>
      </c>
      <c r="AX21" s="112">
        <f t="shared" si="15"/>
        <v>0</v>
      </c>
      <c r="AY21" s="112">
        <f>SUBTOTAL(9,AY22:AY27)</f>
        <v>0</v>
      </c>
      <c r="AZ21" s="112">
        <f>SUBTOTAL(9,AZ22:AZ27)</f>
        <v>0</v>
      </c>
      <c r="BA21" s="112">
        <f>SUBTOTAL(9,BA22:BA27)</f>
        <v>0</v>
      </c>
      <c r="BB21" s="112">
        <f>SUBTOTAL(9,BB22:BB27)</f>
        <v>0</v>
      </c>
    </row>
    <row r="22" spans="1:54" ht="15.75">
      <c r="A22" s="1"/>
      <c r="B22" s="4"/>
      <c r="C22" s="5" t="s">
        <v>10</v>
      </c>
      <c r="D22" s="59">
        <v>0.25</v>
      </c>
      <c r="E22" s="155">
        <v>318000</v>
      </c>
      <c r="F22" s="155">
        <f t="shared" si="11"/>
        <v>0</v>
      </c>
      <c r="G22" s="113">
        <f t="shared" ref="G22:G27" si="16">SUM(H22:BB22)</f>
        <v>318000</v>
      </c>
      <c r="H22" s="113">
        <v>1000</v>
      </c>
      <c r="I22" s="113">
        <v>20000</v>
      </c>
      <c r="J22" s="113">
        <v>25000</v>
      </c>
      <c r="K22" s="113">
        <v>25000</v>
      </c>
      <c r="L22" s="113">
        <v>20000</v>
      </c>
      <c r="M22" s="113">
        <v>25000</v>
      </c>
      <c r="N22" s="113">
        <v>25000</v>
      </c>
      <c r="O22" s="113">
        <v>5000</v>
      </c>
      <c r="P22" s="113">
        <v>15000</v>
      </c>
      <c r="Q22" s="113">
        <v>30000</v>
      </c>
      <c r="R22" s="113">
        <v>30000</v>
      </c>
      <c r="S22" s="113">
        <v>5000</v>
      </c>
      <c r="T22" s="113">
        <v>15000</v>
      </c>
      <c r="U22" s="113">
        <v>10000</v>
      </c>
      <c r="V22" s="113">
        <v>5000</v>
      </c>
      <c r="W22" s="113">
        <v>30000</v>
      </c>
      <c r="X22" s="113"/>
      <c r="Y22" s="113">
        <v>30000</v>
      </c>
      <c r="Z22" s="113">
        <v>2000</v>
      </c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</row>
    <row r="23" spans="1:54" ht="15.75">
      <c r="A23" s="1"/>
      <c r="B23" s="4"/>
      <c r="C23" s="5" t="s">
        <v>11</v>
      </c>
      <c r="D23" s="59">
        <v>0.1</v>
      </c>
      <c r="E23" s="155">
        <v>475000</v>
      </c>
      <c r="F23" s="155">
        <f t="shared" si="11"/>
        <v>0</v>
      </c>
      <c r="G23" s="113">
        <f t="shared" si="16"/>
        <v>475000</v>
      </c>
      <c r="H23" s="113"/>
      <c r="I23" s="113"/>
      <c r="J23" s="113"/>
      <c r="K23" s="113"/>
      <c r="L23" s="113"/>
      <c r="M23" s="113"/>
      <c r="N23" s="113">
        <v>15000</v>
      </c>
      <c r="O23" s="113"/>
      <c r="P23" s="113">
        <v>15000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>
        <v>425000</v>
      </c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>
        <v>20000</v>
      </c>
      <c r="AU23" s="113"/>
      <c r="AV23" s="113"/>
      <c r="AW23" s="113"/>
      <c r="AX23" s="113"/>
      <c r="AY23" s="113"/>
      <c r="AZ23" s="113"/>
      <c r="BA23" s="113"/>
      <c r="BB23" s="113"/>
    </row>
    <row r="24" spans="1:54" ht="31.5">
      <c r="A24" s="1"/>
      <c r="B24" s="4"/>
      <c r="C24" s="6" t="s">
        <v>96</v>
      </c>
      <c r="D24" s="59">
        <v>0.1</v>
      </c>
      <c r="E24" s="155">
        <v>101000</v>
      </c>
      <c r="F24" s="155">
        <f t="shared" si="11"/>
        <v>0</v>
      </c>
      <c r="G24" s="113">
        <f t="shared" si="16"/>
        <v>101000</v>
      </c>
      <c r="H24" s="113">
        <v>3060</v>
      </c>
      <c r="I24" s="113">
        <v>6120</v>
      </c>
      <c r="J24" s="113">
        <v>9180</v>
      </c>
      <c r="K24" s="113">
        <v>6120</v>
      </c>
      <c r="L24" s="113">
        <v>0</v>
      </c>
      <c r="M24" s="113">
        <v>3060</v>
      </c>
      <c r="N24" s="113">
        <v>9200</v>
      </c>
      <c r="O24" s="113">
        <v>3060</v>
      </c>
      <c r="P24" s="113">
        <v>9180</v>
      </c>
      <c r="Q24" s="113">
        <v>3060</v>
      </c>
      <c r="R24" s="113">
        <v>9180</v>
      </c>
      <c r="S24" s="113">
        <v>6120</v>
      </c>
      <c r="T24" s="113">
        <v>6120</v>
      </c>
      <c r="U24" s="113">
        <v>18360</v>
      </c>
      <c r="V24" s="113">
        <v>3060</v>
      </c>
      <c r="W24" s="113">
        <v>6120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</row>
    <row r="25" spans="1:54" ht="31.5">
      <c r="A25" s="1"/>
      <c r="B25" s="4"/>
      <c r="C25" s="5" t="s">
        <v>12</v>
      </c>
      <c r="D25" s="59">
        <v>0.1</v>
      </c>
      <c r="E25" s="155">
        <v>619440</v>
      </c>
      <c r="F25" s="155">
        <f t="shared" si="11"/>
        <v>0</v>
      </c>
      <c r="G25" s="113">
        <f t="shared" si="16"/>
        <v>619440</v>
      </c>
      <c r="H25" s="113">
        <v>20000</v>
      </c>
      <c r="I25" s="113">
        <v>70640</v>
      </c>
      <c r="J25" s="113">
        <v>15800</v>
      </c>
      <c r="K25" s="113">
        <v>24500</v>
      </c>
      <c r="L25" s="113">
        <v>27000</v>
      </c>
      <c r="M25" s="113">
        <f>11200+10000</f>
        <v>21200</v>
      </c>
      <c r="N25" s="113">
        <v>1700</v>
      </c>
      <c r="O25" s="113">
        <v>13000</v>
      </c>
      <c r="P25" s="113">
        <v>56000</v>
      </c>
      <c r="Q25" s="113">
        <v>34200</v>
      </c>
      <c r="R25" s="113">
        <v>184200</v>
      </c>
      <c r="S25" s="113">
        <v>48500</v>
      </c>
      <c r="T25" s="113">
        <v>13000</v>
      </c>
      <c r="U25" s="113">
        <v>33000</v>
      </c>
      <c r="V25" s="113">
        <v>7200</v>
      </c>
      <c r="W25" s="113">
        <v>13000</v>
      </c>
      <c r="X25" s="113">
        <v>500</v>
      </c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36000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</row>
    <row r="26" spans="1:54" ht="31.5">
      <c r="A26" s="1"/>
      <c r="B26" s="4"/>
      <c r="C26" s="5" t="s">
        <v>13</v>
      </c>
      <c r="D26" s="59">
        <v>0.1</v>
      </c>
      <c r="E26" s="155">
        <v>395000</v>
      </c>
      <c r="F26" s="155">
        <f t="shared" si="11"/>
        <v>0</v>
      </c>
      <c r="G26" s="113">
        <f t="shared" si="16"/>
        <v>395000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>
        <v>395000</v>
      </c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</row>
    <row r="27" spans="1:54" ht="15.75">
      <c r="A27" s="1"/>
      <c r="B27" s="4"/>
      <c r="C27" s="5" t="s">
        <v>14</v>
      </c>
      <c r="D27" s="59">
        <v>0.1</v>
      </c>
      <c r="E27" s="155">
        <v>1200000</v>
      </c>
      <c r="F27" s="155">
        <f t="shared" si="11"/>
        <v>0</v>
      </c>
      <c r="G27" s="113">
        <f t="shared" si="16"/>
        <v>1200000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>
        <v>1200000</v>
      </c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</row>
    <row r="28" spans="1:54" s="58" customFormat="1" ht="28.9" customHeight="1">
      <c r="A28" s="1"/>
      <c r="B28" s="362" t="s">
        <v>15</v>
      </c>
      <c r="C28" s="362"/>
      <c r="D28" s="61"/>
      <c r="E28" s="112">
        <f t="shared" ref="E28:AJ28" si="17">SUBTOTAL(9,E29:E32)</f>
        <v>6157591</v>
      </c>
      <c r="F28" s="112">
        <f t="shared" si="17"/>
        <v>0</v>
      </c>
      <c r="G28" s="112">
        <f t="shared" si="17"/>
        <v>6157591</v>
      </c>
      <c r="H28" s="112">
        <f t="shared" si="17"/>
        <v>0</v>
      </c>
      <c r="I28" s="112">
        <f t="shared" si="17"/>
        <v>0</v>
      </c>
      <c r="J28" s="112">
        <f t="shared" si="17"/>
        <v>3500</v>
      </c>
      <c r="K28" s="112">
        <f t="shared" si="17"/>
        <v>0</v>
      </c>
      <c r="L28" s="112">
        <f t="shared" si="17"/>
        <v>0</v>
      </c>
      <c r="M28" s="112">
        <f t="shared" si="17"/>
        <v>0</v>
      </c>
      <c r="N28" s="112">
        <f t="shared" si="17"/>
        <v>0</v>
      </c>
      <c r="O28" s="112">
        <f t="shared" si="17"/>
        <v>0</v>
      </c>
      <c r="P28" s="112">
        <f t="shared" si="17"/>
        <v>0</v>
      </c>
      <c r="Q28" s="112">
        <f t="shared" si="17"/>
        <v>0</v>
      </c>
      <c r="R28" s="112">
        <f t="shared" si="17"/>
        <v>35000</v>
      </c>
      <c r="S28" s="112">
        <f t="shared" si="17"/>
        <v>0</v>
      </c>
      <c r="T28" s="112">
        <f t="shared" si="17"/>
        <v>0</v>
      </c>
      <c r="U28" s="112">
        <f t="shared" si="17"/>
        <v>0</v>
      </c>
      <c r="V28" s="112">
        <f t="shared" si="17"/>
        <v>0</v>
      </c>
      <c r="W28" s="112">
        <f t="shared" si="17"/>
        <v>0</v>
      </c>
      <c r="X28" s="112">
        <f t="shared" si="17"/>
        <v>2500</v>
      </c>
      <c r="Y28" s="112">
        <f t="shared" si="17"/>
        <v>10000</v>
      </c>
      <c r="Z28" s="112">
        <f t="shared" si="17"/>
        <v>0</v>
      </c>
      <c r="AA28" s="112">
        <f t="shared" si="17"/>
        <v>0</v>
      </c>
      <c r="AB28" s="112">
        <f t="shared" si="17"/>
        <v>10000</v>
      </c>
      <c r="AC28" s="112">
        <f>SUBTOTAL(9,AC29:AC32)</f>
        <v>0</v>
      </c>
      <c r="AD28" s="112">
        <f t="shared" si="17"/>
        <v>30000</v>
      </c>
      <c r="AE28" s="112">
        <f t="shared" si="17"/>
        <v>15000</v>
      </c>
      <c r="AF28" s="112">
        <f t="shared" si="17"/>
        <v>0</v>
      </c>
      <c r="AG28" s="112">
        <f t="shared" si="17"/>
        <v>0</v>
      </c>
      <c r="AH28" s="112">
        <f t="shared" si="17"/>
        <v>0</v>
      </c>
      <c r="AI28" s="112">
        <f t="shared" si="17"/>
        <v>0</v>
      </c>
      <c r="AJ28" s="112">
        <f t="shared" si="17"/>
        <v>0</v>
      </c>
      <c r="AK28" s="112">
        <f t="shared" ref="AK28:BB28" si="18">SUBTOTAL(9,AK29:AK32)</f>
        <v>0</v>
      </c>
      <c r="AL28" s="112">
        <f t="shared" si="18"/>
        <v>0</v>
      </c>
      <c r="AM28" s="112">
        <f t="shared" si="18"/>
        <v>0</v>
      </c>
      <c r="AN28" s="112">
        <f t="shared" si="18"/>
        <v>45000</v>
      </c>
      <c r="AO28" s="112">
        <f t="shared" si="18"/>
        <v>130000</v>
      </c>
      <c r="AP28" s="112">
        <f t="shared" si="18"/>
        <v>10000</v>
      </c>
      <c r="AQ28" s="112">
        <f t="shared" si="18"/>
        <v>10000</v>
      </c>
      <c r="AR28" s="112">
        <f t="shared" si="18"/>
        <v>10000</v>
      </c>
      <c r="AS28" s="112">
        <f t="shared" si="18"/>
        <v>0</v>
      </c>
      <c r="AT28" s="112">
        <f t="shared" si="18"/>
        <v>0</v>
      </c>
      <c r="AU28" s="112">
        <f t="shared" si="18"/>
        <v>576591</v>
      </c>
      <c r="AV28" s="112">
        <f t="shared" si="18"/>
        <v>670000</v>
      </c>
      <c r="AW28" s="112">
        <f t="shared" si="18"/>
        <v>1800000</v>
      </c>
      <c r="AX28" s="112">
        <f t="shared" si="18"/>
        <v>0</v>
      </c>
      <c r="AY28" s="112">
        <f t="shared" si="18"/>
        <v>2800000</v>
      </c>
      <c r="AZ28" s="112">
        <f t="shared" si="18"/>
        <v>0</v>
      </c>
      <c r="BA28" s="112">
        <f t="shared" si="18"/>
        <v>0</v>
      </c>
      <c r="BB28" s="112">
        <f t="shared" si="18"/>
        <v>0</v>
      </c>
    </row>
    <row r="29" spans="1:54" ht="31.5">
      <c r="A29" s="1"/>
      <c r="B29" s="4"/>
      <c r="C29" s="6" t="s">
        <v>16</v>
      </c>
      <c r="D29" s="62">
        <v>0.2</v>
      </c>
      <c r="E29" s="155">
        <v>576591</v>
      </c>
      <c r="F29" s="155">
        <f t="shared" si="11"/>
        <v>0</v>
      </c>
      <c r="G29" s="113">
        <f t="shared" ref="G29:G34" si="19">SUM(H29:BB29)</f>
        <v>576591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>
        <f>550000+26591</f>
        <v>576591</v>
      </c>
      <c r="AV29" s="113"/>
      <c r="AW29" s="113"/>
      <c r="AX29" s="113"/>
      <c r="AY29" s="113"/>
      <c r="AZ29" s="113"/>
      <c r="BA29" s="113"/>
      <c r="BB29" s="113"/>
    </row>
    <row r="30" spans="1:54" ht="15.75">
      <c r="A30" s="1"/>
      <c r="B30" s="4"/>
      <c r="C30" s="6" t="s">
        <v>204</v>
      </c>
      <c r="D30" s="62">
        <v>0</v>
      </c>
      <c r="E30" s="155">
        <v>1352500</v>
      </c>
      <c r="F30" s="155">
        <f t="shared" si="11"/>
        <v>0</v>
      </c>
      <c r="G30" s="113">
        <f t="shared" si="19"/>
        <v>1352500</v>
      </c>
      <c r="H30" s="113"/>
      <c r="I30" s="113"/>
      <c r="J30" s="113">
        <v>2500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v>50000</v>
      </c>
      <c r="AO30" s="113">
        <v>150000</v>
      </c>
      <c r="AP30" s="113">
        <v>10000</v>
      </c>
      <c r="AQ30" s="113">
        <v>10000</v>
      </c>
      <c r="AR30" s="113">
        <v>10000</v>
      </c>
      <c r="AS30" s="113"/>
      <c r="AT30" s="113"/>
      <c r="AU30" s="113"/>
      <c r="AV30" s="113">
        <v>1120000</v>
      </c>
      <c r="AW30" s="113"/>
      <c r="AX30" s="113"/>
      <c r="AY30" s="113"/>
      <c r="AZ30" s="113"/>
      <c r="BA30" s="113"/>
      <c r="BB30" s="113"/>
    </row>
    <row r="31" spans="1:54" ht="47.25">
      <c r="A31" s="1"/>
      <c r="B31" s="4"/>
      <c r="C31" s="6" t="s">
        <v>169</v>
      </c>
      <c r="D31" s="62">
        <v>0.1</v>
      </c>
      <c r="E31" s="155">
        <v>4703500</v>
      </c>
      <c r="F31" s="155">
        <f t="shared" si="11"/>
        <v>0</v>
      </c>
      <c r="G31" s="113">
        <f t="shared" si="19"/>
        <v>4703500</v>
      </c>
      <c r="H31" s="113"/>
      <c r="I31" s="113"/>
      <c r="J31" s="113">
        <v>1000</v>
      </c>
      <c r="K31" s="113"/>
      <c r="L31" s="113"/>
      <c r="M31" s="113"/>
      <c r="N31" s="113"/>
      <c r="O31" s="113"/>
      <c r="P31" s="113"/>
      <c r="Q31" s="113"/>
      <c r="R31" s="113">
        <v>35000</v>
      </c>
      <c r="S31" s="113"/>
      <c r="T31" s="113"/>
      <c r="U31" s="113"/>
      <c r="V31" s="113"/>
      <c r="W31" s="113"/>
      <c r="X31" s="113">
        <v>2500</v>
      </c>
      <c r="Y31" s="113">
        <v>10000</v>
      </c>
      <c r="Z31" s="113"/>
      <c r="AA31" s="113"/>
      <c r="AB31" s="113">
        <v>10000</v>
      </c>
      <c r="AC31" s="113"/>
      <c r="AD31" s="113">
        <v>30000</v>
      </c>
      <c r="AE31" s="113">
        <v>15000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>
        <v>1800000</v>
      </c>
      <c r="AX31" s="113"/>
      <c r="AY31" s="113">
        <v>2800000</v>
      </c>
      <c r="AZ31" s="113"/>
      <c r="BA31" s="113"/>
      <c r="BB31" s="113"/>
    </row>
    <row r="32" spans="1:54" ht="31.5">
      <c r="A32" s="1"/>
      <c r="B32" s="4"/>
      <c r="C32" s="6" t="s">
        <v>17</v>
      </c>
      <c r="D32" s="63"/>
      <c r="E32" s="155">
        <v>-475000</v>
      </c>
      <c r="F32" s="155">
        <f t="shared" si="11"/>
        <v>0</v>
      </c>
      <c r="G32" s="113">
        <f t="shared" si="19"/>
        <v>-475000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v>-5000</v>
      </c>
      <c r="AO32" s="113">
        <v>-20000</v>
      </c>
      <c r="AP32" s="113"/>
      <c r="AQ32" s="113"/>
      <c r="AR32" s="113"/>
      <c r="AS32" s="113"/>
      <c r="AT32" s="113"/>
      <c r="AU32" s="113"/>
      <c r="AV32" s="113">
        <v>-450000</v>
      </c>
      <c r="AW32" s="113"/>
      <c r="AX32" s="113"/>
      <c r="AY32" s="113"/>
      <c r="AZ32" s="113"/>
      <c r="BA32" s="113"/>
      <c r="BB32" s="113"/>
    </row>
    <row r="33" spans="1:54" ht="15.75">
      <c r="A33" s="1"/>
      <c r="B33" s="4">
        <v>2405</v>
      </c>
      <c r="C33" s="7" t="s">
        <v>153</v>
      </c>
      <c r="D33" s="62">
        <v>0.1</v>
      </c>
      <c r="E33" s="155">
        <v>3214000</v>
      </c>
      <c r="F33" s="155">
        <f t="shared" si="11"/>
        <v>0</v>
      </c>
      <c r="G33" s="113">
        <f t="shared" si="19"/>
        <v>3214000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>
        <v>5000</v>
      </c>
      <c r="S33" s="113"/>
      <c r="T33" s="113"/>
      <c r="U33" s="113"/>
      <c r="V33" s="113"/>
      <c r="W33" s="113"/>
      <c r="X33" s="113"/>
      <c r="Y33" s="113">
        <v>90000</v>
      </c>
      <c r="Z33" s="113">
        <v>495000</v>
      </c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>
        <f>3400000-2912000-186000</f>
        <v>302000</v>
      </c>
      <c r="AN33" s="113"/>
      <c r="AO33" s="113"/>
      <c r="AP33" s="113"/>
      <c r="AQ33" s="113"/>
      <c r="AR33" s="113"/>
      <c r="AS33" s="113"/>
      <c r="AT33" s="113"/>
      <c r="AU33" s="113">
        <v>22000</v>
      </c>
      <c r="AV33" s="113">
        <v>2300000</v>
      </c>
      <c r="AW33" s="113"/>
      <c r="AX33" s="113"/>
      <c r="AY33" s="113"/>
      <c r="AZ33" s="113"/>
      <c r="BA33" s="113"/>
      <c r="BB33" s="113"/>
    </row>
    <row r="34" spans="1:54" ht="15.75">
      <c r="A34" s="1"/>
      <c r="B34" s="4">
        <v>2419</v>
      </c>
      <c r="C34" s="7" t="s">
        <v>70</v>
      </c>
      <c r="D34" s="62">
        <v>0</v>
      </c>
      <c r="E34" s="155"/>
      <c r="F34" s="155">
        <f t="shared" si="11"/>
        <v>0</v>
      </c>
      <c r="G34" s="113">
        <f t="shared" si="19"/>
        <v>0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</row>
    <row r="35" spans="1:54" ht="15.75">
      <c r="A35" s="13">
        <v>2800</v>
      </c>
      <c r="B35" s="137" t="s">
        <v>57</v>
      </c>
      <c r="C35" s="137"/>
      <c r="D35" s="165"/>
      <c r="E35" s="112">
        <f>SUBTOTAL(9,E36:E36)</f>
        <v>0</v>
      </c>
      <c r="F35" s="112">
        <f>SUBTOTAL(9,F36:F36)</f>
        <v>0</v>
      </c>
      <c r="G35" s="112">
        <f t="shared" ref="G35:AX35" si="20">SUBTOTAL(9,G36:G36)</f>
        <v>0</v>
      </c>
      <c r="H35" s="112">
        <f t="shared" si="20"/>
        <v>0</v>
      </c>
      <c r="I35" s="112">
        <f t="shared" si="20"/>
        <v>0</v>
      </c>
      <c r="J35" s="112">
        <f t="shared" si="20"/>
        <v>0</v>
      </c>
      <c r="K35" s="112">
        <f t="shared" si="20"/>
        <v>0</v>
      </c>
      <c r="L35" s="112">
        <f t="shared" si="20"/>
        <v>0</v>
      </c>
      <c r="M35" s="112">
        <f t="shared" si="20"/>
        <v>0</v>
      </c>
      <c r="N35" s="112">
        <f t="shared" si="20"/>
        <v>0</v>
      </c>
      <c r="O35" s="112">
        <f t="shared" si="20"/>
        <v>0</v>
      </c>
      <c r="P35" s="112">
        <f t="shared" si="20"/>
        <v>0</v>
      </c>
      <c r="Q35" s="112">
        <f t="shared" si="20"/>
        <v>0</v>
      </c>
      <c r="R35" s="112">
        <f t="shared" si="20"/>
        <v>0</v>
      </c>
      <c r="S35" s="112">
        <f t="shared" si="20"/>
        <v>0</v>
      </c>
      <c r="T35" s="112">
        <f t="shared" si="20"/>
        <v>0</v>
      </c>
      <c r="U35" s="112">
        <f t="shared" si="20"/>
        <v>0</v>
      </c>
      <c r="V35" s="112">
        <f t="shared" si="20"/>
        <v>0</v>
      </c>
      <c r="W35" s="112">
        <f t="shared" si="20"/>
        <v>0</v>
      </c>
      <c r="X35" s="112">
        <f t="shared" si="20"/>
        <v>0</v>
      </c>
      <c r="Y35" s="112">
        <f t="shared" si="20"/>
        <v>0</v>
      </c>
      <c r="Z35" s="112">
        <f t="shared" si="20"/>
        <v>0</v>
      </c>
      <c r="AA35" s="112">
        <f t="shared" si="20"/>
        <v>0</v>
      </c>
      <c r="AB35" s="112">
        <f t="shared" si="20"/>
        <v>0</v>
      </c>
      <c r="AC35" s="112">
        <f t="shared" si="20"/>
        <v>0</v>
      </c>
      <c r="AD35" s="112">
        <f t="shared" si="20"/>
        <v>0</v>
      </c>
      <c r="AE35" s="112">
        <f t="shared" si="20"/>
        <v>0</v>
      </c>
      <c r="AF35" s="112">
        <f t="shared" si="20"/>
        <v>0</v>
      </c>
      <c r="AG35" s="112">
        <f t="shared" si="20"/>
        <v>0</v>
      </c>
      <c r="AH35" s="112">
        <f t="shared" si="20"/>
        <v>0</v>
      </c>
      <c r="AI35" s="112">
        <f t="shared" si="20"/>
        <v>0</v>
      </c>
      <c r="AJ35" s="112">
        <f t="shared" si="20"/>
        <v>0</v>
      </c>
      <c r="AK35" s="112">
        <f t="shared" si="20"/>
        <v>0</v>
      </c>
      <c r="AL35" s="112">
        <f t="shared" si="20"/>
        <v>0</v>
      </c>
      <c r="AM35" s="112">
        <f t="shared" si="20"/>
        <v>0</v>
      </c>
      <c r="AN35" s="112">
        <f t="shared" si="20"/>
        <v>0</v>
      </c>
      <c r="AO35" s="112">
        <f t="shared" si="20"/>
        <v>0</v>
      </c>
      <c r="AP35" s="112">
        <f t="shared" si="20"/>
        <v>0</v>
      </c>
      <c r="AQ35" s="112">
        <f t="shared" si="20"/>
        <v>0</v>
      </c>
      <c r="AR35" s="112">
        <f t="shared" si="20"/>
        <v>0</v>
      </c>
      <c r="AS35" s="112">
        <f t="shared" si="20"/>
        <v>0</v>
      </c>
      <c r="AT35" s="112">
        <f t="shared" si="20"/>
        <v>0</v>
      </c>
      <c r="AU35" s="112">
        <f t="shared" si="20"/>
        <v>0</v>
      </c>
      <c r="AV35" s="112">
        <f t="shared" si="20"/>
        <v>0</v>
      </c>
      <c r="AW35" s="112">
        <f t="shared" si="20"/>
        <v>0</v>
      </c>
      <c r="AX35" s="112">
        <f t="shared" si="20"/>
        <v>0</v>
      </c>
      <c r="AY35" s="112">
        <f>SUBTOTAL(9,AY36:AY36)</f>
        <v>0</v>
      </c>
      <c r="AZ35" s="112">
        <f>SUBTOTAL(9,AZ36:AZ36)</f>
        <v>0</v>
      </c>
      <c r="BA35" s="112">
        <f>SUBTOTAL(9,BA36:BA36)</f>
        <v>0</v>
      </c>
      <c r="BB35" s="112">
        <f>SUBTOTAL(9,BB36:BB36)</f>
        <v>0</v>
      </c>
    </row>
    <row r="36" spans="1:54" ht="15.75">
      <c r="A36" s="1"/>
      <c r="B36" s="4">
        <v>2802</v>
      </c>
      <c r="C36" s="8" t="s">
        <v>71</v>
      </c>
      <c r="D36" s="62">
        <v>0</v>
      </c>
      <c r="E36" s="155"/>
      <c r="F36" s="155">
        <f t="shared" si="11"/>
        <v>0</v>
      </c>
      <c r="G36" s="113">
        <f>SUM(H36:BB36)</f>
        <v>0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</row>
    <row r="37" spans="1:54" ht="15.75">
      <c r="A37" s="13">
        <v>3600</v>
      </c>
      <c r="B37" s="137" t="s">
        <v>58</v>
      </c>
      <c r="C37" s="137"/>
      <c r="D37" s="165"/>
      <c r="E37" s="112">
        <f>SUBTOTAL(9,E38:E39)</f>
        <v>16000</v>
      </c>
      <c r="F37" s="112">
        <f>SUBTOTAL(9,F38:F39)</f>
        <v>0</v>
      </c>
      <c r="G37" s="112">
        <f t="shared" ref="G37:AX37" si="21">SUBTOTAL(9,G38:G39)</f>
        <v>16000</v>
      </c>
      <c r="H37" s="112">
        <f t="shared" si="21"/>
        <v>0</v>
      </c>
      <c r="I37" s="112">
        <f t="shared" si="21"/>
        <v>0</v>
      </c>
      <c r="J37" s="112">
        <f t="shared" si="21"/>
        <v>0</v>
      </c>
      <c r="K37" s="112">
        <f t="shared" si="21"/>
        <v>0</v>
      </c>
      <c r="L37" s="112">
        <f t="shared" si="21"/>
        <v>0</v>
      </c>
      <c r="M37" s="112">
        <f t="shared" si="21"/>
        <v>0</v>
      </c>
      <c r="N37" s="112">
        <f t="shared" si="21"/>
        <v>0</v>
      </c>
      <c r="O37" s="112">
        <f t="shared" si="21"/>
        <v>0</v>
      </c>
      <c r="P37" s="112">
        <f t="shared" si="21"/>
        <v>0</v>
      </c>
      <c r="Q37" s="112">
        <f t="shared" si="21"/>
        <v>0</v>
      </c>
      <c r="R37" s="112">
        <f t="shared" si="21"/>
        <v>0</v>
      </c>
      <c r="S37" s="112">
        <f t="shared" si="21"/>
        <v>0</v>
      </c>
      <c r="T37" s="112">
        <f t="shared" si="21"/>
        <v>0</v>
      </c>
      <c r="U37" s="112">
        <f t="shared" si="21"/>
        <v>0</v>
      </c>
      <c r="V37" s="112">
        <f t="shared" si="21"/>
        <v>0</v>
      </c>
      <c r="W37" s="112">
        <f t="shared" si="21"/>
        <v>0</v>
      </c>
      <c r="X37" s="112">
        <f t="shared" si="21"/>
        <v>0</v>
      </c>
      <c r="Y37" s="112">
        <f t="shared" si="21"/>
        <v>0</v>
      </c>
      <c r="Z37" s="112">
        <f t="shared" si="21"/>
        <v>2000</v>
      </c>
      <c r="AA37" s="112">
        <f t="shared" si="21"/>
        <v>0</v>
      </c>
      <c r="AB37" s="112">
        <f t="shared" si="21"/>
        <v>0</v>
      </c>
      <c r="AC37" s="112">
        <f t="shared" si="21"/>
        <v>0</v>
      </c>
      <c r="AD37" s="112">
        <f t="shared" si="21"/>
        <v>0</v>
      </c>
      <c r="AE37" s="112">
        <f t="shared" si="21"/>
        <v>0</v>
      </c>
      <c r="AF37" s="112">
        <f t="shared" si="21"/>
        <v>0</v>
      </c>
      <c r="AG37" s="112">
        <f t="shared" si="21"/>
        <v>0</v>
      </c>
      <c r="AH37" s="112">
        <f t="shared" si="21"/>
        <v>0</v>
      </c>
      <c r="AI37" s="112">
        <f t="shared" si="21"/>
        <v>0</v>
      </c>
      <c r="AJ37" s="112">
        <f t="shared" si="21"/>
        <v>0</v>
      </c>
      <c r="AK37" s="112">
        <f t="shared" si="21"/>
        <v>0</v>
      </c>
      <c r="AL37" s="112">
        <f t="shared" si="21"/>
        <v>0</v>
      </c>
      <c r="AM37" s="112">
        <f t="shared" si="21"/>
        <v>11500</v>
      </c>
      <c r="AN37" s="112">
        <f t="shared" si="21"/>
        <v>0</v>
      </c>
      <c r="AO37" s="112">
        <f t="shared" si="21"/>
        <v>0</v>
      </c>
      <c r="AP37" s="112">
        <f t="shared" si="21"/>
        <v>0</v>
      </c>
      <c r="AQ37" s="112">
        <f t="shared" si="21"/>
        <v>0</v>
      </c>
      <c r="AR37" s="112">
        <f t="shared" si="21"/>
        <v>0</v>
      </c>
      <c r="AS37" s="112">
        <f t="shared" si="21"/>
        <v>0</v>
      </c>
      <c r="AT37" s="112">
        <f t="shared" si="21"/>
        <v>0</v>
      </c>
      <c r="AU37" s="112">
        <f t="shared" si="21"/>
        <v>2500</v>
      </c>
      <c r="AV37" s="112">
        <f t="shared" si="21"/>
        <v>0</v>
      </c>
      <c r="AW37" s="112">
        <f t="shared" si="21"/>
        <v>0</v>
      </c>
      <c r="AX37" s="112">
        <f t="shared" si="21"/>
        <v>0</v>
      </c>
      <c r="AY37" s="112">
        <f>SUBTOTAL(9,AY38:AY39)</f>
        <v>0</v>
      </c>
      <c r="AZ37" s="112">
        <f>SUBTOTAL(9,AZ38:AZ39)</f>
        <v>0</v>
      </c>
      <c r="BA37" s="112">
        <f>SUBTOTAL(9,BA38:BA39)</f>
        <v>0</v>
      </c>
      <c r="BB37" s="112">
        <f>SUBTOTAL(9,BB38:BB39)</f>
        <v>0</v>
      </c>
    </row>
    <row r="38" spans="1:54" ht="15.75">
      <c r="A38" s="1"/>
      <c r="B38" s="4">
        <v>3611</v>
      </c>
      <c r="C38" s="5" t="s">
        <v>72</v>
      </c>
      <c r="D38" s="62">
        <v>0</v>
      </c>
      <c r="E38" s="155"/>
      <c r="F38" s="155">
        <f t="shared" si="11"/>
        <v>0</v>
      </c>
      <c r="G38" s="113">
        <f>SUM(H38:BB38)</f>
        <v>0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</row>
    <row r="39" spans="1:54" ht="15.75">
      <c r="A39" s="1"/>
      <c r="B39" s="4">
        <v>3619</v>
      </c>
      <c r="C39" s="9" t="s">
        <v>73</v>
      </c>
      <c r="D39" s="62">
        <v>0.1</v>
      </c>
      <c r="E39" s="155">
        <v>16000</v>
      </c>
      <c r="F39" s="155">
        <f t="shared" si="11"/>
        <v>0</v>
      </c>
      <c r="G39" s="113">
        <f>SUM(H39:BB39)</f>
        <v>16000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>
        <v>2000</v>
      </c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>
        <v>11500</v>
      </c>
      <c r="AN39" s="113"/>
      <c r="AO39" s="113"/>
      <c r="AP39" s="113"/>
      <c r="AQ39" s="113"/>
      <c r="AR39" s="113"/>
      <c r="AS39" s="113"/>
      <c r="AT39" s="113"/>
      <c r="AU39" s="113">
        <v>2500</v>
      </c>
      <c r="AV39" s="113"/>
      <c r="AW39" s="113"/>
      <c r="AX39" s="113"/>
      <c r="AY39" s="113"/>
      <c r="AZ39" s="113"/>
      <c r="BA39" s="113"/>
      <c r="BB39" s="113"/>
    </row>
    <row r="40" spans="1:54" ht="15.75">
      <c r="A40" s="13">
        <v>3700</v>
      </c>
      <c r="B40" s="137" t="s">
        <v>59</v>
      </c>
      <c r="C40" s="137"/>
      <c r="D40" s="165"/>
      <c r="E40" s="112">
        <f>SUBTOTAL(9,E41:E42)</f>
        <v>-260000</v>
      </c>
      <c r="F40" s="112">
        <f>SUBTOTAL(9,F41:F42)</f>
        <v>0</v>
      </c>
      <c r="G40" s="112">
        <f t="shared" ref="G40:AX40" si="22">SUBTOTAL(9,G41:G42)</f>
        <v>-260000</v>
      </c>
      <c r="H40" s="112">
        <f t="shared" si="22"/>
        <v>0</v>
      </c>
      <c r="I40" s="112">
        <f t="shared" si="22"/>
        <v>0</v>
      </c>
      <c r="J40" s="112">
        <f t="shared" si="22"/>
        <v>0</v>
      </c>
      <c r="K40" s="112">
        <f t="shared" si="22"/>
        <v>0</v>
      </c>
      <c r="L40" s="112">
        <f t="shared" si="22"/>
        <v>0</v>
      </c>
      <c r="M40" s="112">
        <f t="shared" si="22"/>
        <v>0</v>
      </c>
      <c r="N40" s="112">
        <f t="shared" si="22"/>
        <v>0</v>
      </c>
      <c r="O40" s="112">
        <f t="shared" si="22"/>
        <v>0</v>
      </c>
      <c r="P40" s="112">
        <f t="shared" si="22"/>
        <v>0</v>
      </c>
      <c r="Q40" s="112">
        <f t="shared" si="22"/>
        <v>0</v>
      </c>
      <c r="R40" s="112">
        <f t="shared" si="22"/>
        <v>0</v>
      </c>
      <c r="S40" s="112">
        <f t="shared" si="22"/>
        <v>0</v>
      </c>
      <c r="T40" s="112">
        <f t="shared" si="22"/>
        <v>0</v>
      </c>
      <c r="U40" s="112">
        <f t="shared" si="22"/>
        <v>0</v>
      </c>
      <c r="V40" s="112">
        <f t="shared" si="22"/>
        <v>0</v>
      </c>
      <c r="W40" s="112">
        <f t="shared" si="22"/>
        <v>0</v>
      </c>
      <c r="X40" s="112">
        <f t="shared" si="22"/>
        <v>0</v>
      </c>
      <c r="Y40" s="112">
        <f t="shared" si="22"/>
        <v>0</v>
      </c>
      <c r="Z40" s="112">
        <f t="shared" si="22"/>
        <v>0</v>
      </c>
      <c r="AA40" s="112">
        <f t="shared" si="22"/>
        <v>0</v>
      </c>
      <c r="AB40" s="112">
        <f t="shared" si="22"/>
        <v>0</v>
      </c>
      <c r="AC40" s="112">
        <f t="shared" si="22"/>
        <v>0</v>
      </c>
      <c r="AD40" s="112">
        <f t="shared" si="22"/>
        <v>0</v>
      </c>
      <c r="AE40" s="112">
        <f t="shared" si="22"/>
        <v>0</v>
      </c>
      <c r="AF40" s="112">
        <f t="shared" si="22"/>
        <v>0</v>
      </c>
      <c r="AG40" s="112">
        <f t="shared" si="22"/>
        <v>0</v>
      </c>
      <c r="AH40" s="112">
        <f t="shared" si="22"/>
        <v>0</v>
      </c>
      <c r="AI40" s="112">
        <f t="shared" si="22"/>
        <v>0</v>
      </c>
      <c r="AJ40" s="112">
        <f t="shared" si="22"/>
        <v>0</v>
      </c>
      <c r="AK40" s="112">
        <f t="shared" si="22"/>
        <v>0</v>
      </c>
      <c r="AL40" s="112">
        <f t="shared" si="22"/>
        <v>0</v>
      </c>
      <c r="AM40" s="112">
        <f t="shared" si="22"/>
        <v>-240000</v>
      </c>
      <c r="AN40" s="112">
        <f t="shared" si="22"/>
        <v>0</v>
      </c>
      <c r="AO40" s="112">
        <f t="shared" si="22"/>
        <v>0</v>
      </c>
      <c r="AP40" s="112">
        <f t="shared" si="22"/>
        <v>0</v>
      </c>
      <c r="AQ40" s="112">
        <f t="shared" si="22"/>
        <v>0</v>
      </c>
      <c r="AR40" s="112">
        <f t="shared" si="22"/>
        <v>0</v>
      </c>
      <c r="AS40" s="112">
        <f t="shared" si="22"/>
        <v>0</v>
      </c>
      <c r="AT40" s="112">
        <f t="shared" si="22"/>
        <v>0</v>
      </c>
      <c r="AU40" s="112">
        <f t="shared" si="22"/>
        <v>-20000</v>
      </c>
      <c r="AV40" s="112">
        <f t="shared" si="22"/>
        <v>0</v>
      </c>
      <c r="AW40" s="112">
        <f t="shared" si="22"/>
        <v>0</v>
      </c>
      <c r="AX40" s="112">
        <f t="shared" si="22"/>
        <v>0</v>
      </c>
      <c r="AY40" s="112">
        <f>SUBTOTAL(9,AY41:AY42)</f>
        <v>0</v>
      </c>
      <c r="AZ40" s="112">
        <f>SUBTOTAL(9,AZ41:AZ42)</f>
        <v>0</v>
      </c>
      <c r="BA40" s="112">
        <f>SUBTOTAL(9,BA41:BA42)</f>
        <v>0</v>
      </c>
      <c r="BB40" s="112">
        <f>SUBTOTAL(9,BB41:BB42)</f>
        <v>0</v>
      </c>
    </row>
    <row r="41" spans="1:54" ht="15.75">
      <c r="A41" s="1"/>
      <c r="B41" s="4">
        <v>3701</v>
      </c>
      <c r="C41" s="5" t="s">
        <v>178</v>
      </c>
      <c r="D41" s="3"/>
      <c r="E41" s="155">
        <v>-245000</v>
      </c>
      <c r="F41" s="155">
        <f t="shared" si="11"/>
        <v>0</v>
      </c>
      <c r="G41" s="113">
        <f>SUM(H41:BB41)</f>
        <v>-245000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>
        <v>-225000</v>
      </c>
      <c r="AN41" s="113"/>
      <c r="AO41" s="113"/>
      <c r="AP41" s="113"/>
      <c r="AQ41" s="113"/>
      <c r="AR41" s="113"/>
      <c r="AS41" s="113"/>
      <c r="AT41" s="113"/>
      <c r="AU41" s="113">
        <v>-20000</v>
      </c>
      <c r="AV41" s="113"/>
      <c r="AW41" s="113"/>
      <c r="AX41" s="113"/>
      <c r="AY41" s="113"/>
      <c r="AZ41" s="113"/>
      <c r="BA41" s="113"/>
      <c r="BB41" s="113"/>
    </row>
    <row r="42" spans="1:54" ht="31.5">
      <c r="A42" s="1"/>
      <c r="B42" s="4">
        <v>3702</v>
      </c>
      <c r="C42" s="5" t="s">
        <v>179</v>
      </c>
      <c r="D42" s="3"/>
      <c r="E42" s="155">
        <v>-15000</v>
      </c>
      <c r="F42" s="155">
        <f t="shared" si="11"/>
        <v>0</v>
      </c>
      <c r="G42" s="113">
        <f>SUM(H42:BB42)</f>
        <v>-15000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>
        <v>-15000</v>
      </c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</row>
    <row r="43" spans="1:54" ht="15.75">
      <c r="A43" s="13" t="s">
        <v>18</v>
      </c>
      <c r="B43" s="137" t="s">
        <v>60</v>
      </c>
      <c r="C43" s="137"/>
      <c r="D43" s="165"/>
      <c r="E43" s="112">
        <f>SUBTOTAL(9,E44:E44)</f>
        <v>175000</v>
      </c>
      <c r="F43" s="112">
        <f>SUBTOTAL(9,F44:F44)</f>
        <v>0</v>
      </c>
      <c r="G43" s="112">
        <f t="shared" ref="G43:AX43" si="23">SUBTOTAL(9,G44:G44)</f>
        <v>175000</v>
      </c>
      <c r="H43" s="112">
        <f t="shared" si="23"/>
        <v>0</v>
      </c>
      <c r="I43" s="112">
        <f t="shared" si="23"/>
        <v>0</v>
      </c>
      <c r="J43" s="112">
        <f t="shared" si="23"/>
        <v>60000</v>
      </c>
      <c r="K43" s="112">
        <f t="shared" si="23"/>
        <v>0</v>
      </c>
      <c r="L43" s="112">
        <f t="shared" si="23"/>
        <v>0</v>
      </c>
      <c r="M43" s="112">
        <f t="shared" si="23"/>
        <v>0</v>
      </c>
      <c r="N43" s="112">
        <f t="shared" si="23"/>
        <v>0</v>
      </c>
      <c r="O43" s="112">
        <f t="shared" si="23"/>
        <v>0</v>
      </c>
      <c r="P43" s="112">
        <f t="shared" si="23"/>
        <v>0</v>
      </c>
      <c r="Q43" s="112">
        <f t="shared" si="23"/>
        <v>45000</v>
      </c>
      <c r="R43" s="112">
        <f t="shared" si="23"/>
        <v>0</v>
      </c>
      <c r="S43" s="112">
        <f t="shared" si="23"/>
        <v>0</v>
      </c>
      <c r="T43" s="112">
        <f t="shared" si="23"/>
        <v>0</v>
      </c>
      <c r="U43" s="112">
        <f t="shared" si="23"/>
        <v>0</v>
      </c>
      <c r="V43" s="112">
        <f t="shared" si="23"/>
        <v>0</v>
      </c>
      <c r="W43" s="112">
        <f t="shared" si="23"/>
        <v>0</v>
      </c>
      <c r="X43" s="112">
        <f t="shared" si="23"/>
        <v>0</v>
      </c>
      <c r="Y43" s="112">
        <f t="shared" si="23"/>
        <v>0</v>
      </c>
      <c r="Z43" s="112">
        <f t="shared" si="23"/>
        <v>0</v>
      </c>
      <c r="AA43" s="112">
        <f t="shared" si="23"/>
        <v>0</v>
      </c>
      <c r="AB43" s="112">
        <f t="shared" si="23"/>
        <v>0</v>
      </c>
      <c r="AC43" s="112">
        <f t="shared" si="23"/>
        <v>0</v>
      </c>
      <c r="AD43" s="112">
        <f t="shared" si="23"/>
        <v>0</v>
      </c>
      <c r="AE43" s="112">
        <f t="shared" si="23"/>
        <v>0</v>
      </c>
      <c r="AF43" s="112">
        <f t="shared" si="23"/>
        <v>0</v>
      </c>
      <c r="AG43" s="112">
        <f t="shared" si="23"/>
        <v>0</v>
      </c>
      <c r="AH43" s="112">
        <f t="shared" si="23"/>
        <v>0</v>
      </c>
      <c r="AI43" s="112">
        <f t="shared" si="23"/>
        <v>0</v>
      </c>
      <c r="AJ43" s="112">
        <f t="shared" si="23"/>
        <v>0</v>
      </c>
      <c r="AK43" s="112">
        <f t="shared" si="23"/>
        <v>0</v>
      </c>
      <c r="AL43" s="112">
        <f t="shared" si="23"/>
        <v>0</v>
      </c>
      <c r="AM43" s="112">
        <f t="shared" si="23"/>
        <v>52000</v>
      </c>
      <c r="AN43" s="112">
        <f t="shared" si="23"/>
        <v>0</v>
      </c>
      <c r="AO43" s="112">
        <f t="shared" si="23"/>
        <v>0</v>
      </c>
      <c r="AP43" s="112">
        <f t="shared" si="23"/>
        <v>0</v>
      </c>
      <c r="AQ43" s="112">
        <f t="shared" si="23"/>
        <v>0</v>
      </c>
      <c r="AR43" s="112">
        <f t="shared" si="23"/>
        <v>0</v>
      </c>
      <c r="AS43" s="112">
        <f t="shared" si="23"/>
        <v>0</v>
      </c>
      <c r="AT43" s="112">
        <f t="shared" si="23"/>
        <v>0</v>
      </c>
      <c r="AU43" s="112">
        <f t="shared" si="23"/>
        <v>5000</v>
      </c>
      <c r="AV43" s="112">
        <f t="shared" si="23"/>
        <v>0</v>
      </c>
      <c r="AW43" s="112">
        <f t="shared" si="23"/>
        <v>3000</v>
      </c>
      <c r="AX43" s="112">
        <f t="shared" si="23"/>
        <v>0</v>
      </c>
      <c r="AY43" s="112">
        <f>SUBTOTAL(9,AY44:AY44)</f>
        <v>10000</v>
      </c>
      <c r="AZ43" s="112">
        <f>SUBTOTAL(9,AZ44:AZ44)</f>
        <v>0</v>
      </c>
      <c r="BA43" s="112">
        <f>SUBTOTAL(9,BA44:BA44)</f>
        <v>0</v>
      </c>
      <c r="BB43" s="112">
        <f>SUBTOTAL(9,BB44:BB44)</f>
        <v>0</v>
      </c>
    </row>
    <row r="44" spans="1:54" ht="15.75">
      <c r="A44" s="1"/>
      <c r="B44" s="4">
        <v>4501</v>
      </c>
      <c r="C44" s="9" t="s">
        <v>74</v>
      </c>
      <c r="D44" s="62">
        <v>0</v>
      </c>
      <c r="E44" s="155">
        <v>175000</v>
      </c>
      <c r="F44" s="155">
        <f t="shared" si="11"/>
        <v>0</v>
      </c>
      <c r="G44" s="113">
        <f>SUM(H44:BB44)</f>
        <v>175000</v>
      </c>
      <c r="H44" s="113"/>
      <c r="I44" s="113"/>
      <c r="J44" s="113">
        <v>60000</v>
      </c>
      <c r="K44" s="113"/>
      <c r="L44" s="113"/>
      <c r="M44" s="113"/>
      <c r="N44" s="113"/>
      <c r="O44" s="113"/>
      <c r="P44" s="113"/>
      <c r="Q44" s="113">
        <v>45000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>
        <v>52000</v>
      </c>
      <c r="AN44" s="113"/>
      <c r="AO44" s="113"/>
      <c r="AP44" s="113"/>
      <c r="AQ44" s="113"/>
      <c r="AR44" s="113"/>
      <c r="AS44" s="113"/>
      <c r="AT44" s="113"/>
      <c r="AU44" s="113">
        <v>5000</v>
      </c>
      <c r="AV44" s="113"/>
      <c r="AW44" s="113">
        <v>3000</v>
      </c>
      <c r="AX44" s="113"/>
      <c r="AY44" s="113">
        <v>10000</v>
      </c>
      <c r="AZ44" s="113"/>
      <c r="BA44" s="113"/>
      <c r="BB44" s="113"/>
    </row>
    <row r="45" spans="1:54" ht="15.75">
      <c r="A45" s="13">
        <v>4600</v>
      </c>
      <c r="B45" s="137" t="s">
        <v>61</v>
      </c>
      <c r="C45" s="137"/>
      <c r="D45" s="165"/>
      <c r="E45" s="112">
        <f>SUBTOTAL(9,E46:E48)</f>
        <v>270000</v>
      </c>
      <c r="F45" s="112">
        <f>SUBTOTAL(9,F46:F48)</f>
        <v>0</v>
      </c>
      <c r="G45" s="112">
        <f t="shared" ref="G45:AX45" si="24">SUBTOTAL(9,G46:G48)</f>
        <v>270000</v>
      </c>
      <c r="H45" s="112">
        <f t="shared" si="24"/>
        <v>0</v>
      </c>
      <c r="I45" s="112">
        <f t="shared" si="24"/>
        <v>0</v>
      </c>
      <c r="J45" s="112">
        <f t="shared" si="24"/>
        <v>0</v>
      </c>
      <c r="K45" s="112">
        <f t="shared" si="24"/>
        <v>0</v>
      </c>
      <c r="L45" s="112">
        <f t="shared" si="24"/>
        <v>0</v>
      </c>
      <c r="M45" s="112">
        <f t="shared" si="24"/>
        <v>0</v>
      </c>
      <c r="N45" s="112">
        <f t="shared" si="24"/>
        <v>0</v>
      </c>
      <c r="O45" s="112">
        <f t="shared" si="24"/>
        <v>0</v>
      </c>
      <c r="P45" s="112">
        <f t="shared" si="24"/>
        <v>0</v>
      </c>
      <c r="Q45" s="112">
        <f t="shared" si="24"/>
        <v>0</v>
      </c>
      <c r="R45" s="112">
        <f t="shared" si="24"/>
        <v>0</v>
      </c>
      <c r="S45" s="112">
        <f t="shared" si="24"/>
        <v>0</v>
      </c>
      <c r="T45" s="112">
        <f t="shared" si="24"/>
        <v>0</v>
      </c>
      <c r="U45" s="112">
        <f t="shared" si="24"/>
        <v>0</v>
      </c>
      <c r="V45" s="112">
        <f t="shared" si="24"/>
        <v>0</v>
      </c>
      <c r="W45" s="112">
        <f t="shared" si="24"/>
        <v>0</v>
      </c>
      <c r="X45" s="112">
        <f t="shared" si="24"/>
        <v>0</v>
      </c>
      <c r="Y45" s="112">
        <f t="shared" si="24"/>
        <v>0</v>
      </c>
      <c r="Z45" s="112">
        <f t="shared" si="24"/>
        <v>0</v>
      </c>
      <c r="AA45" s="112">
        <f t="shared" si="24"/>
        <v>0</v>
      </c>
      <c r="AB45" s="112">
        <f t="shared" si="24"/>
        <v>0</v>
      </c>
      <c r="AC45" s="112">
        <f t="shared" si="24"/>
        <v>0</v>
      </c>
      <c r="AD45" s="112">
        <f t="shared" si="24"/>
        <v>0</v>
      </c>
      <c r="AE45" s="112">
        <f t="shared" si="24"/>
        <v>0</v>
      </c>
      <c r="AF45" s="112">
        <f t="shared" si="24"/>
        <v>0</v>
      </c>
      <c r="AG45" s="112">
        <f t="shared" si="24"/>
        <v>0</v>
      </c>
      <c r="AH45" s="112">
        <f t="shared" si="24"/>
        <v>0</v>
      </c>
      <c r="AI45" s="112">
        <f t="shared" si="24"/>
        <v>0</v>
      </c>
      <c r="AJ45" s="112">
        <f t="shared" si="24"/>
        <v>0</v>
      </c>
      <c r="AK45" s="112">
        <f t="shared" si="24"/>
        <v>0</v>
      </c>
      <c r="AL45" s="112">
        <f t="shared" si="24"/>
        <v>0</v>
      </c>
      <c r="AM45" s="112">
        <f t="shared" si="24"/>
        <v>0</v>
      </c>
      <c r="AN45" s="112">
        <f t="shared" si="24"/>
        <v>0</v>
      </c>
      <c r="AO45" s="112">
        <f t="shared" si="24"/>
        <v>0</v>
      </c>
      <c r="AP45" s="112">
        <f t="shared" si="24"/>
        <v>0</v>
      </c>
      <c r="AQ45" s="112">
        <f t="shared" si="24"/>
        <v>0</v>
      </c>
      <c r="AR45" s="112">
        <f t="shared" si="24"/>
        <v>0</v>
      </c>
      <c r="AS45" s="112">
        <f t="shared" si="24"/>
        <v>0</v>
      </c>
      <c r="AT45" s="112">
        <f t="shared" si="24"/>
        <v>250000</v>
      </c>
      <c r="AU45" s="112">
        <f t="shared" si="24"/>
        <v>0</v>
      </c>
      <c r="AV45" s="112">
        <f t="shared" si="24"/>
        <v>0</v>
      </c>
      <c r="AW45" s="112">
        <f t="shared" si="24"/>
        <v>0</v>
      </c>
      <c r="AX45" s="112">
        <f t="shared" si="24"/>
        <v>0</v>
      </c>
      <c r="AY45" s="112">
        <f>SUBTOTAL(9,AY46:AY48)</f>
        <v>20000</v>
      </c>
      <c r="AZ45" s="112">
        <f>SUBTOTAL(9,AZ46:AZ48)</f>
        <v>0</v>
      </c>
      <c r="BA45" s="112">
        <f>SUBTOTAL(9,BA46:BA48)</f>
        <v>0</v>
      </c>
      <c r="BB45" s="112">
        <f>SUBTOTAL(9,BB46:BB48)</f>
        <v>0</v>
      </c>
    </row>
    <row r="46" spans="1:54" ht="15.75">
      <c r="A46" s="1"/>
      <c r="B46" s="4">
        <v>4610</v>
      </c>
      <c r="C46" s="5" t="s">
        <v>75</v>
      </c>
      <c r="D46" s="62">
        <v>0</v>
      </c>
      <c r="E46" s="155"/>
      <c r="F46" s="155">
        <f t="shared" si="11"/>
        <v>0</v>
      </c>
      <c r="G46" s="113">
        <f>SUM(H46:BB46)</f>
        <v>0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</row>
    <row r="47" spans="1:54" ht="15.75">
      <c r="A47" s="1"/>
      <c r="B47" s="4">
        <v>4630</v>
      </c>
      <c r="C47" s="5" t="s">
        <v>76</v>
      </c>
      <c r="D47" s="62">
        <v>0</v>
      </c>
      <c r="E47" s="155">
        <v>270000</v>
      </c>
      <c r="F47" s="155">
        <f t="shared" si="11"/>
        <v>0</v>
      </c>
      <c r="G47" s="113">
        <f>SUM(H47:BB47)</f>
        <v>270000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>
        <v>250000</v>
      </c>
      <c r="AU47" s="113"/>
      <c r="AV47" s="113"/>
      <c r="AW47" s="113"/>
      <c r="AX47" s="113"/>
      <c r="AY47" s="113">
        <v>20000</v>
      </c>
      <c r="AZ47" s="113"/>
      <c r="BA47" s="113"/>
      <c r="BB47" s="113"/>
    </row>
    <row r="48" spans="1:54" ht="15.75">
      <c r="A48" s="1"/>
      <c r="B48" s="4">
        <v>4650</v>
      </c>
      <c r="C48" s="5" t="s">
        <v>77</v>
      </c>
      <c r="D48" s="62">
        <v>0</v>
      </c>
      <c r="E48" s="155"/>
      <c r="F48" s="155">
        <f t="shared" si="11"/>
        <v>0</v>
      </c>
      <c r="G48" s="113">
        <f>SUM(H48:BB48)</f>
        <v>0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</row>
    <row r="49" spans="1:54" ht="15.75">
      <c r="A49" s="13">
        <v>4800</v>
      </c>
      <c r="B49" s="137" t="s">
        <v>19</v>
      </c>
      <c r="C49" s="137"/>
      <c r="D49" s="165"/>
      <c r="E49" s="112">
        <f>SUBTOTAL(9,E50:E52)</f>
        <v>0</v>
      </c>
      <c r="F49" s="112">
        <f>SUBTOTAL(9,F50:F52)</f>
        <v>0</v>
      </c>
      <c r="G49" s="112">
        <f t="shared" ref="G49:AX49" si="25">SUBTOTAL(9,G50:G52)</f>
        <v>0</v>
      </c>
      <c r="H49" s="112">
        <f t="shared" si="25"/>
        <v>0</v>
      </c>
      <c r="I49" s="112">
        <f t="shared" si="25"/>
        <v>0</v>
      </c>
      <c r="J49" s="112">
        <f t="shared" si="25"/>
        <v>0</v>
      </c>
      <c r="K49" s="112">
        <f t="shared" si="25"/>
        <v>0</v>
      </c>
      <c r="L49" s="112">
        <f t="shared" si="25"/>
        <v>0</v>
      </c>
      <c r="M49" s="112">
        <f t="shared" si="25"/>
        <v>0</v>
      </c>
      <c r="N49" s="112">
        <f t="shared" si="25"/>
        <v>0</v>
      </c>
      <c r="O49" s="112">
        <f t="shared" si="25"/>
        <v>0</v>
      </c>
      <c r="P49" s="112">
        <f t="shared" si="25"/>
        <v>0</v>
      </c>
      <c r="Q49" s="112">
        <f t="shared" si="25"/>
        <v>0</v>
      </c>
      <c r="R49" s="112">
        <f t="shared" si="25"/>
        <v>0</v>
      </c>
      <c r="S49" s="112">
        <f t="shared" si="25"/>
        <v>0</v>
      </c>
      <c r="T49" s="112">
        <f t="shared" si="25"/>
        <v>0</v>
      </c>
      <c r="U49" s="112">
        <f t="shared" si="25"/>
        <v>0</v>
      </c>
      <c r="V49" s="112">
        <f t="shared" si="25"/>
        <v>0</v>
      </c>
      <c r="W49" s="112">
        <f t="shared" si="25"/>
        <v>0</v>
      </c>
      <c r="X49" s="112">
        <f t="shared" si="25"/>
        <v>0</v>
      </c>
      <c r="Y49" s="112">
        <f t="shared" si="25"/>
        <v>0</v>
      </c>
      <c r="Z49" s="112">
        <f t="shared" si="25"/>
        <v>0</v>
      </c>
      <c r="AA49" s="112">
        <f t="shared" si="25"/>
        <v>0</v>
      </c>
      <c r="AB49" s="112">
        <f t="shared" si="25"/>
        <v>0</v>
      </c>
      <c r="AC49" s="112">
        <f t="shared" si="25"/>
        <v>0</v>
      </c>
      <c r="AD49" s="112">
        <f t="shared" si="25"/>
        <v>0</v>
      </c>
      <c r="AE49" s="112">
        <f t="shared" si="25"/>
        <v>0</v>
      </c>
      <c r="AF49" s="112">
        <f t="shared" si="25"/>
        <v>0</v>
      </c>
      <c r="AG49" s="112">
        <f t="shared" si="25"/>
        <v>0</v>
      </c>
      <c r="AH49" s="112">
        <f t="shared" si="25"/>
        <v>0</v>
      </c>
      <c r="AI49" s="112">
        <f t="shared" si="25"/>
        <v>0</v>
      </c>
      <c r="AJ49" s="112">
        <f t="shared" si="25"/>
        <v>0</v>
      </c>
      <c r="AK49" s="112">
        <f t="shared" si="25"/>
        <v>0</v>
      </c>
      <c r="AL49" s="112">
        <f t="shared" si="25"/>
        <v>0</v>
      </c>
      <c r="AM49" s="112">
        <f t="shared" si="25"/>
        <v>0</v>
      </c>
      <c r="AN49" s="112">
        <f t="shared" si="25"/>
        <v>0</v>
      </c>
      <c r="AO49" s="112">
        <f t="shared" si="25"/>
        <v>0</v>
      </c>
      <c r="AP49" s="112">
        <f t="shared" si="25"/>
        <v>0</v>
      </c>
      <c r="AQ49" s="112">
        <f t="shared" si="25"/>
        <v>0</v>
      </c>
      <c r="AR49" s="112">
        <f t="shared" si="25"/>
        <v>0</v>
      </c>
      <c r="AS49" s="112">
        <f t="shared" si="25"/>
        <v>0</v>
      </c>
      <c r="AT49" s="112">
        <f t="shared" si="25"/>
        <v>0</v>
      </c>
      <c r="AU49" s="112">
        <f t="shared" si="25"/>
        <v>0</v>
      </c>
      <c r="AV49" s="112">
        <f t="shared" si="25"/>
        <v>0</v>
      </c>
      <c r="AW49" s="112">
        <f t="shared" si="25"/>
        <v>0</v>
      </c>
      <c r="AX49" s="112">
        <f t="shared" si="25"/>
        <v>0</v>
      </c>
      <c r="AY49" s="112">
        <f>SUBTOTAL(9,AY50:AY52)</f>
        <v>0</v>
      </c>
      <c r="AZ49" s="112">
        <f>SUBTOTAL(9,AZ50:AZ52)</f>
        <v>0</v>
      </c>
      <c r="BA49" s="112">
        <f>SUBTOTAL(9,BA50:BA52)</f>
        <v>0</v>
      </c>
      <c r="BB49" s="112">
        <f>SUBTOTAL(9,BB50:BB52)</f>
        <v>0</v>
      </c>
    </row>
    <row r="50" spans="1:54" ht="31.5">
      <c r="A50" s="1"/>
      <c r="B50" s="4">
        <v>4810</v>
      </c>
      <c r="C50" s="5" t="s">
        <v>180</v>
      </c>
      <c r="D50" s="3"/>
      <c r="E50" s="155"/>
      <c r="F50" s="155">
        <f t="shared" si="11"/>
        <v>0</v>
      </c>
      <c r="G50" s="113">
        <f>SUM(H50:BB50)</f>
        <v>0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</row>
    <row r="51" spans="1:54" ht="31.5">
      <c r="A51" s="1"/>
      <c r="B51" s="4">
        <v>4830</v>
      </c>
      <c r="C51" s="5" t="s">
        <v>181</v>
      </c>
      <c r="D51" s="3"/>
      <c r="E51" s="155"/>
      <c r="F51" s="155">
        <f t="shared" si="11"/>
        <v>0</v>
      </c>
      <c r="G51" s="113">
        <f>SUM(H51:BB51)</f>
        <v>0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</row>
    <row r="52" spans="1:54" ht="32.25" thickBot="1">
      <c r="A52" s="43"/>
      <c r="B52" s="44">
        <v>4850</v>
      </c>
      <c r="C52" s="64" t="s">
        <v>182</v>
      </c>
      <c r="D52" s="65"/>
      <c r="E52" s="156"/>
      <c r="F52" s="155">
        <f t="shared" si="11"/>
        <v>0</v>
      </c>
      <c r="G52" s="114">
        <f>SUM(H52:BB52)</f>
        <v>0</v>
      </c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</row>
    <row r="53" spans="1:54" s="66" customFormat="1" ht="42.6" customHeight="1" thickBot="1">
      <c r="A53" s="353" t="s">
        <v>29</v>
      </c>
      <c r="B53" s="354"/>
      <c r="C53" s="354"/>
      <c r="D53" s="160"/>
      <c r="E53" s="110">
        <f>SUBTOTAL(9,E54:E93)</f>
        <v>138533118</v>
      </c>
      <c r="F53" s="110">
        <f>SUBTOTAL(9,F54:F93)</f>
        <v>7.0907998830080032E-2</v>
      </c>
      <c r="G53" s="110">
        <f t="shared" ref="G53:BB53" si="26">SUBTOTAL(9,G54:G93)</f>
        <v>138533117.92909199</v>
      </c>
      <c r="H53" s="110">
        <f t="shared" si="26"/>
        <v>1489407.5671039999</v>
      </c>
      <c r="I53" s="110">
        <f t="shared" si="26"/>
        <v>5757784.4697280005</v>
      </c>
      <c r="J53" s="110">
        <f t="shared" si="26"/>
        <v>4343815.1905199997</v>
      </c>
      <c r="K53" s="110">
        <f t="shared" si="26"/>
        <v>3933277.912056</v>
      </c>
      <c r="L53" s="110">
        <f t="shared" si="26"/>
        <v>3625107.579496</v>
      </c>
      <c r="M53" s="110">
        <f t="shared" si="26"/>
        <v>3187053.6595439999</v>
      </c>
      <c r="N53" s="110">
        <f t="shared" si="26"/>
        <v>2618193.16</v>
      </c>
      <c r="O53" s="110">
        <f t="shared" si="26"/>
        <v>5669576.4334239997</v>
      </c>
      <c r="P53" s="110">
        <f t="shared" si="26"/>
        <v>9270000.1168159992</v>
      </c>
      <c r="Q53" s="110">
        <f t="shared" si="26"/>
        <v>9745270.6275600009</v>
      </c>
      <c r="R53" s="110">
        <f t="shared" si="26"/>
        <v>4868602.4782800004</v>
      </c>
      <c r="S53" s="110">
        <f t="shared" si="26"/>
        <v>2300326.9317999999</v>
      </c>
      <c r="T53" s="110">
        <f t="shared" si="26"/>
        <v>6788974.2809359999</v>
      </c>
      <c r="U53" s="110">
        <f t="shared" si="26"/>
        <v>9046343.090992</v>
      </c>
      <c r="V53" s="110">
        <f t="shared" si="26"/>
        <v>6251000.1443520002</v>
      </c>
      <c r="W53" s="110">
        <f t="shared" si="26"/>
        <v>5888572.5409840001</v>
      </c>
      <c r="X53" s="110">
        <f t="shared" si="26"/>
        <v>1209545.1510000001</v>
      </c>
      <c r="Y53" s="110">
        <f t="shared" si="26"/>
        <v>1030803.275</v>
      </c>
      <c r="Z53" s="110">
        <f t="shared" si="26"/>
        <v>1612205.575</v>
      </c>
      <c r="AA53" s="110">
        <f t="shared" si="26"/>
        <v>479512.2</v>
      </c>
      <c r="AB53" s="110">
        <f t="shared" si="26"/>
        <v>2833517</v>
      </c>
      <c r="AC53" s="110">
        <f t="shared" si="26"/>
        <v>315118.63750000001</v>
      </c>
      <c r="AD53" s="110">
        <f t="shared" si="26"/>
        <v>189791.54250000001</v>
      </c>
      <c r="AE53" s="110">
        <f t="shared" si="26"/>
        <v>175028.45250000001</v>
      </c>
      <c r="AF53" s="110">
        <f t="shared" si="26"/>
        <v>149637.41250000001</v>
      </c>
      <c r="AG53" s="110">
        <f t="shared" si="26"/>
        <v>47416.654999999999</v>
      </c>
      <c r="AH53" s="110">
        <f t="shared" si="26"/>
        <v>56832.286500000002</v>
      </c>
      <c r="AI53" s="110">
        <f t="shared" si="26"/>
        <v>3499108.1919999998</v>
      </c>
      <c r="AJ53" s="110">
        <f t="shared" si="26"/>
        <v>879119.22</v>
      </c>
      <c r="AK53" s="110">
        <f t="shared" si="26"/>
        <v>98632.61</v>
      </c>
      <c r="AL53" s="110">
        <f t="shared" si="26"/>
        <v>63931.525000000001</v>
      </c>
      <c r="AM53" s="110">
        <f t="shared" si="26"/>
        <v>17907801.575999998</v>
      </c>
      <c r="AN53" s="110">
        <f t="shared" si="26"/>
        <v>240600.05</v>
      </c>
      <c r="AO53" s="110">
        <f t="shared" si="26"/>
        <v>225873.84</v>
      </c>
      <c r="AP53" s="110">
        <f t="shared" si="26"/>
        <v>106091.4</v>
      </c>
      <c r="AQ53" s="110">
        <f t="shared" si="26"/>
        <v>20107.228750000002</v>
      </c>
      <c r="AR53" s="110">
        <f t="shared" si="26"/>
        <v>158772.42874999999</v>
      </c>
      <c r="AS53" s="110">
        <f t="shared" si="26"/>
        <v>3027676.95</v>
      </c>
      <c r="AT53" s="110">
        <f t="shared" si="26"/>
        <v>440478.7</v>
      </c>
      <c r="AU53" s="110">
        <f t="shared" si="26"/>
        <v>1567074</v>
      </c>
      <c r="AV53" s="110">
        <f t="shared" si="26"/>
        <v>5601820.75</v>
      </c>
      <c r="AW53" s="110">
        <f t="shared" si="26"/>
        <v>2170353.25</v>
      </c>
      <c r="AX53" s="110">
        <f t="shared" si="26"/>
        <v>883117.36250000005</v>
      </c>
      <c r="AY53" s="110">
        <f t="shared" si="26"/>
        <v>8404757.4749999996</v>
      </c>
      <c r="AZ53" s="110">
        <f t="shared" si="26"/>
        <v>355087</v>
      </c>
      <c r="BA53" s="110">
        <f>SUBTOTAL(9,BA54:BA93)</f>
        <v>0</v>
      </c>
      <c r="BB53" s="109">
        <f t="shared" si="26"/>
        <v>0</v>
      </c>
    </row>
    <row r="54" spans="1:54" ht="15.75">
      <c r="A54" s="56">
        <v>100</v>
      </c>
      <c r="B54" s="363" t="s">
        <v>62</v>
      </c>
      <c r="C54" s="364"/>
      <c r="D54" s="163"/>
      <c r="E54" s="115">
        <f>SUBTOTAL(9,E55:E55)</f>
        <v>74200000</v>
      </c>
      <c r="F54" s="115">
        <f>SUBTOTAL(9,F55:F55)</f>
        <v>0</v>
      </c>
      <c r="G54" s="115">
        <f t="shared" ref="G54:AX54" si="27">SUBTOTAL(9,G55:G55)</f>
        <v>74200000</v>
      </c>
      <c r="H54" s="115">
        <f t="shared" si="27"/>
        <v>1100000</v>
      </c>
      <c r="I54" s="115">
        <f t="shared" si="27"/>
        <v>4250000</v>
      </c>
      <c r="J54" s="115">
        <f t="shared" si="27"/>
        <v>3000000</v>
      </c>
      <c r="K54" s="115">
        <f t="shared" si="27"/>
        <v>2800000</v>
      </c>
      <c r="L54" s="115">
        <f t="shared" si="27"/>
        <v>2100000</v>
      </c>
      <c r="M54" s="115">
        <f t="shared" si="27"/>
        <v>2250000</v>
      </c>
      <c r="N54" s="115">
        <f t="shared" si="27"/>
        <v>1790000</v>
      </c>
      <c r="O54" s="115">
        <f t="shared" si="27"/>
        <v>4250000</v>
      </c>
      <c r="P54" s="115">
        <f t="shared" si="27"/>
        <v>6700000</v>
      </c>
      <c r="Q54" s="115">
        <f t="shared" si="27"/>
        <v>6700000</v>
      </c>
      <c r="R54" s="115">
        <f t="shared" si="27"/>
        <v>3500000</v>
      </c>
      <c r="S54" s="115">
        <f t="shared" si="27"/>
        <v>1690000</v>
      </c>
      <c r="T54" s="115">
        <f t="shared" si="27"/>
        <v>4800000</v>
      </c>
      <c r="U54" s="115">
        <f t="shared" si="27"/>
        <v>6500000</v>
      </c>
      <c r="V54" s="115">
        <f t="shared" si="27"/>
        <v>4700000</v>
      </c>
      <c r="W54" s="115">
        <f t="shared" si="27"/>
        <v>4400000</v>
      </c>
      <c r="X54" s="115">
        <f t="shared" si="27"/>
        <v>790000</v>
      </c>
      <c r="Y54" s="115">
        <f t="shared" si="27"/>
        <v>690000</v>
      </c>
      <c r="Z54" s="115">
        <f t="shared" si="27"/>
        <v>925000</v>
      </c>
      <c r="AA54" s="115">
        <f t="shared" si="27"/>
        <v>380000</v>
      </c>
      <c r="AB54" s="115">
        <f t="shared" si="27"/>
        <v>1500000</v>
      </c>
      <c r="AC54" s="115">
        <f t="shared" si="27"/>
        <v>0</v>
      </c>
      <c r="AD54" s="115">
        <f t="shared" si="27"/>
        <v>78000</v>
      </c>
      <c r="AE54" s="115">
        <f t="shared" si="27"/>
        <v>71000</v>
      </c>
      <c r="AF54" s="115">
        <f t="shared" si="27"/>
        <v>55000</v>
      </c>
      <c r="AG54" s="115">
        <f t="shared" si="27"/>
        <v>15000</v>
      </c>
      <c r="AH54" s="115">
        <f t="shared" si="27"/>
        <v>19600</v>
      </c>
      <c r="AI54" s="115">
        <f t="shared" si="27"/>
        <v>2600000</v>
      </c>
      <c r="AJ54" s="115">
        <f t="shared" si="27"/>
        <v>600000</v>
      </c>
      <c r="AK54" s="115">
        <f t="shared" si="27"/>
        <v>69000</v>
      </c>
      <c r="AL54" s="115">
        <f t="shared" si="27"/>
        <v>0</v>
      </c>
      <c r="AM54" s="115">
        <f t="shared" si="27"/>
        <v>170400</v>
      </c>
      <c r="AN54" s="115">
        <f t="shared" si="27"/>
        <v>145000</v>
      </c>
      <c r="AO54" s="115">
        <f t="shared" si="27"/>
        <v>88000</v>
      </c>
      <c r="AP54" s="115">
        <f t="shared" si="27"/>
        <v>54000</v>
      </c>
      <c r="AQ54" s="115">
        <f t="shared" si="27"/>
        <v>0</v>
      </c>
      <c r="AR54" s="115">
        <f t="shared" si="27"/>
        <v>70000</v>
      </c>
      <c r="AS54" s="115">
        <f t="shared" si="27"/>
        <v>80000</v>
      </c>
      <c r="AT54" s="115">
        <f t="shared" si="27"/>
        <v>155000</v>
      </c>
      <c r="AU54" s="115">
        <f t="shared" si="27"/>
        <v>750000</v>
      </c>
      <c r="AV54" s="115">
        <f t="shared" si="27"/>
        <v>2305000</v>
      </c>
      <c r="AW54" s="115">
        <f t="shared" si="27"/>
        <v>1300000</v>
      </c>
      <c r="AX54" s="115">
        <f t="shared" si="27"/>
        <v>75000</v>
      </c>
      <c r="AY54" s="115">
        <f>SUBTOTAL(9,AY55:AY55)</f>
        <v>500000</v>
      </c>
      <c r="AZ54" s="115">
        <f>SUBTOTAL(9,AZ55:AZ55)</f>
        <v>185000</v>
      </c>
      <c r="BA54" s="115">
        <f>SUBTOTAL(9,BA55:BA55)</f>
        <v>0</v>
      </c>
      <c r="BB54" s="115">
        <f>SUBTOTAL(9,BB55:BB55)</f>
        <v>0</v>
      </c>
    </row>
    <row r="55" spans="1:54" ht="31.5">
      <c r="A55" s="209"/>
      <c r="B55" s="11">
        <v>101</v>
      </c>
      <c r="C55" s="12" t="s">
        <v>78</v>
      </c>
      <c r="D55" s="67"/>
      <c r="E55" s="155">
        <v>74200000</v>
      </c>
      <c r="F55" s="155">
        <f>E55-G55</f>
        <v>0</v>
      </c>
      <c r="G55" s="113">
        <f>SUM(H55:BB55)</f>
        <v>74200000</v>
      </c>
      <c r="H55" s="113">
        <v>1100000</v>
      </c>
      <c r="I55" s="113">
        <v>4250000</v>
      </c>
      <c r="J55" s="113">
        <v>3000000</v>
      </c>
      <c r="K55" s="113">
        <v>2800000</v>
      </c>
      <c r="L55" s="113">
        <v>2100000</v>
      </c>
      <c r="M55" s="113">
        <v>2250000</v>
      </c>
      <c r="N55" s="113">
        <v>1790000</v>
      </c>
      <c r="O55" s="113">
        <v>4250000</v>
      </c>
      <c r="P55" s="113">
        <v>6700000</v>
      </c>
      <c r="Q55" s="113">
        <v>6700000</v>
      </c>
      <c r="R55" s="113">
        <v>3500000</v>
      </c>
      <c r="S55" s="113">
        <v>1690000</v>
      </c>
      <c r="T55" s="113">
        <v>4800000</v>
      </c>
      <c r="U55" s="113">
        <v>6500000</v>
      </c>
      <c r="V55" s="113">
        <v>4700000</v>
      </c>
      <c r="W55" s="113">
        <v>4400000</v>
      </c>
      <c r="X55" s="113">
        <v>790000</v>
      </c>
      <c r="Y55" s="113">
        <v>690000</v>
      </c>
      <c r="Z55" s="113">
        <v>925000</v>
      </c>
      <c r="AA55" s="113">
        <v>380000</v>
      </c>
      <c r="AB55" s="113">
        <v>1500000</v>
      </c>
      <c r="AC55" s="113"/>
      <c r="AD55" s="113">
        <v>78000</v>
      </c>
      <c r="AE55" s="113">
        <v>71000</v>
      </c>
      <c r="AF55" s="113">
        <v>55000</v>
      </c>
      <c r="AG55" s="113">
        <v>15000</v>
      </c>
      <c r="AH55" s="113">
        <v>19600</v>
      </c>
      <c r="AI55" s="113">
        <v>2600000</v>
      </c>
      <c r="AJ55" s="113">
        <v>600000</v>
      </c>
      <c r="AK55" s="113">
        <v>69000</v>
      </c>
      <c r="AL55" s="113">
        <v>0</v>
      </c>
      <c r="AM55" s="113">
        <f>157800+12600</f>
        <v>170400</v>
      </c>
      <c r="AN55" s="113">
        <v>145000</v>
      </c>
      <c r="AO55" s="113">
        <v>88000</v>
      </c>
      <c r="AP55" s="113">
        <v>54000</v>
      </c>
      <c r="AQ55" s="113">
        <v>0</v>
      </c>
      <c r="AR55" s="113">
        <v>70000</v>
      </c>
      <c r="AS55" s="113">
        <v>80000</v>
      </c>
      <c r="AT55" s="113">
        <v>155000</v>
      </c>
      <c r="AU55" s="113">
        <v>750000</v>
      </c>
      <c r="AV55" s="113">
        <v>2305000</v>
      </c>
      <c r="AW55" s="113">
        <v>1300000</v>
      </c>
      <c r="AX55" s="113">
        <v>75000</v>
      </c>
      <c r="AY55" s="113">
        <v>500000</v>
      </c>
      <c r="AZ55" s="113">
        <v>185000</v>
      </c>
      <c r="BA55" s="113">
        <v>0</v>
      </c>
      <c r="BB55" s="113">
        <v>0</v>
      </c>
    </row>
    <row r="56" spans="1:54" ht="15.75">
      <c r="A56" s="13">
        <v>200</v>
      </c>
      <c r="B56" s="365" t="s">
        <v>31</v>
      </c>
      <c r="C56" s="365"/>
      <c r="D56" s="164"/>
      <c r="E56" s="112">
        <f>SUBTOTAL(9,E57:E60)</f>
        <v>12349064</v>
      </c>
      <c r="F56" s="112">
        <f>SUBTOTAL(9,F57:F60)</f>
        <v>0</v>
      </c>
      <c r="G56" s="112">
        <f t="shared" ref="G56:AX56" si="28">SUBTOTAL(9,G57:G60)</f>
        <v>12349064</v>
      </c>
      <c r="H56" s="112">
        <f t="shared" si="28"/>
        <v>31488</v>
      </c>
      <c r="I56" s="112">
        <f>SUBTOTAL(9,I57:I60)</f>
        <v>265416</v>
      </c>
      <c r="J56" s="112">
        <f t="shared" si="28"/>
        <v>354940</v>
      </c>
      <c r="K56" s="112">
        <f t="shared" si="28"/>
        <v>280532</v>
      </c>
      <c r="L56" s="112">
        <f t="shared" si="28"/>
        <v>381212</v>
      </c>
      <c r="M56" s="112">
        <f t="shared" si="28"/>
        <v>166668</v>
      </c>
      <c r="N56" s="112">
        <f t="shared" si="28"/>
        <v>209000</v>
      </c>
      <c r="O56" s="112">
        <f t="shared" si="28"/>
        <v>191528</v>
      </c>
      <c r="P56" s="112">
        <f t="shared" si="28"/>
        <v>725752</v>
      </c>
      <c r="Q56" s="112">
        <f t="shared" si="28"/>
        <v>871820</v>
      </c>
      <c r="R56" s="112">
        <f t="shared" si="28"/>
        <v>348660</v>
      </c>
      <c r="S56" s="112">
        <f t="shared" si="28"/>
        <v>106100</v>
      </c>
      <c r="T56" s="112">
        <f t="shared" si="28"/>
        <v>727692</v>
      </c>
      <c r="U56" s="112">
        <f t="shared" si="28"/>
        <v>885424</v>
      </c>
      <c r="V56" s="112">
        <f t="shared" si="28"/>
        <v>170844</v>
      </c>
      <c r="W56" s="112">
        <f t="shared" si="28"/>
        <v>159848</v>
      </c>
      <c r="X56" s="112">
        <f t="shared" si="28"/>
        <v>69200</v>
      </c>
      <c r="Y56" s="112">
        <f t="shared" si="28"/>
        <v>10000</v>
      </c>
      <c r="Z56" s="112">
        <f t="shared" si="28"/>
        <v>274250</v>
      </c>
      <c r="AA56" s="112">
        <f t="shared" si="28"/>
        <v>4050</v>
      </c>
      <c r="AB56" s="112">
        <f t="shared" si="28"/>
        <v>21000</v>
      </c>
      <c r="AC56" s="112">
        <f t="shared" si="28"/>
        <v>65000</v>
      </c>
      <c r="AD56" s="112">
        <f t="shared" si="28"/>
        <v>47000</v>
      </c>
      <c r="AE56" s="112">
        <f t="shared" si="28"/>
        <v>55000</v>
      </c>
      <c r="AF56" s="112">
        <f t="shared" si="28"/>
        <v>55000</v>
      </c>
      <c r="AG56" s="112">
        <f t="shared" si="28"/>
        <v>6000</v>
      </c>
      <c r="AH56" s="112">
        <f t="shared" si="28"/>
        <v>15000</v>
      </c>
      <c r="AI56" s="112">
        <f t="shared" si="28"/>
        <v>70000</v>
      </c>
      <c r="AJ56" s="112">
        <f t="shared" si="28"/>
        <v>24000</v>
      </c>
      <c r="AK56" s="112">
        <f t="shared" si="28"/>
        <v>0</v>
      </c>
      <c r="AL56" s="112">
        <f t="shared" si="28"/>
        <v>30000</v>
      </c>
      <c r="AM56" s="112">
        <f t="shared" si="28"/>
        <v>805233</v>
      </c>
      <c r="AN56" s="112">
        <f t="shared" si="28"/>
        <v>8150</v>
      </c>
      <c r="AO56" s="112">
        <f t="shared" si="28"/>
        <v>48000</v>
      </c>
      <c r="AP56" s="112">
        <f t="shared" si="28"/>
        <v>6000</v>
      </c>
      <c r="AQ56" s="112">
        <f t="shared" si="28"/>
        <v>4500</v>
      </c>
      <c r="AR56" s="112">
        <f t="shared" si="28"/>
        <v>14500</v>
      </c>
      <c r="AS56" s="112">
        <f t="shared" si="28"/>
        <v>100000</v>
      </c>
      <c r="AT56" s="112">
        <f t="shared" si="28"/>
        <v>100000</v>
      </c>
      <c r="AU56" s="112">
        <f t="shared" si="28"/>
        <v>145000</v>
      </c>
      <c r="AV56" s="112">
        <f t="shared" si="28"/>
        <v>85257</v>
      </c>
      <c r="AW56" s="112">
        <f t="shared" si="28"/>
        <v>5000</v>
      </c>
      <c r="AX56" s="112">
        <f t="shared" si="28"/>
        <v>235000</v>
      </c>
      <c r="AY56" s="112">
        <f>SUBTOTAL(9,AY57:AY60)</f>
        <v>4170000</v>
      </c>
      <c r="AZ56" s="112">
        <f>SUBTOTAL(9,AZ57:AZ60)</f>
        <v>0</v>
      </c>
      <c r="BA56" s="112">
        <f>SUBTOTAL(9,BA57:BA60)</f>
        <v>0</v>
      </c>
      <c r="BB56" s="112">
        <f>SUBTOTAL(9,BB57:BB60)</f>
        <v>0</v>
      </c>
    </row>
    <row r="57" spans="1:54" ht="15.75">
      <c r="A57" s="13"/>
      <c r="B57" s="11">
        <v>201</v>
      </c>
      <c r="C57" s="12" t="s">
        <v>79</v>
      </c>
      <c r="D57" s="67"/>
      <c r="E57" s="155">
        <v>1115000</v>
      </c>
      <c r="F57" s="155">
        <f>E57-G57</f>
        <v>0</v>
      </c>
      <c r="G57" s="113">
        <f>SUM(H57:BB57)</f>
        <v>1115000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>
        <v>6000</v>
      </c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>
        <v>48000</v>
      </c>
      <c r="AP57" s="113">
        <v>6000</v>
      </c>
      <c r="AQ57" s="113"/>
      <c r="AR57" s="113">
        <v>10000</v>
      </c>
      <c r="AS57" s="113"/>
      <c r="AT57" s="113"/>
      <c r="AU57" s="113">
        <v>45000</v>
      </c>
      <c r="AV57" s="113"/>
      <c r="AW57" s="113"/>
      <c r="AX57" s="113"/>
      <c r="AY57" s="113">
        <v>1000000</v>
      </c>
      <c r="AZ57" s="113"/>
      <c r="BA57" s="113"/>
      <c r="BB57" s="113"/>
    </row>
    <row r="58" spans="1:54" ht="15.75">
      <c r="A58" s="14"/>
      <c r="B58" s="11">
        <v>202</v>
      </c>
      <c r="C58" s="15" t="s">
        <v>80</v>
      </c>
      <c r="D58" s="68"/>
      <c r="E58" s="155">
        <v>6972324</v>
      </c>
      <c r="F58" s="155">
        <f>E58-G58</f>
        <v>0</v>
      </c>
      <c r="G58" s="113">
        <f>SUM(H58:BB58)</f>
        <v>6972324</v>
      </c>
      <c r="H58" s="113">
        <v>31488</v>
      </c>
      <c r="I58" s="113">
        <v>70416</v>
      </c>
      <c r="J58" s="113">
        <v>29940</v>
      </c>
      <c r="K58" s="113">
        <v>80532</v>
      </c>
      <c r="L58" s="113">
        <v>361212</v>
      </c>
      <c r="M58" s="113">
        <v>49668</v>
      </c>
      <c r="N58" s="113">
        <v>100000</v>
      </c>
      <c r="O58" s="113">
        <v>81528</v>
      </c>
      <c r="P58" s="113">
        <v>685752</v>
      </c>
      <c r="Q58" s="113">
        <v>521820</v>
      </c>
      <c r="R58" s="113">
        <v>123660</v>
      </c>
      <c r="S58" s="113">
        <v>32100</v>
      </c>
      <c r="T58" s="113">
        <v>176892</v>
      </c>
      <c r="U58" s="113">
        <v>176424</v>
      </c>
      <c r="V58" s="113">
        <v>43344</v>
      </c>
      <c r="W58" s="113">
        <v>63348</v>
      </c>
      <c r="X58" s="113">
        <v>69200</v>
      </c>
      <c r="Y58" s="113">
        <v>10000</v>
      </c>
      <c r="Z58" s="113">
        <v>190000</v>
      </c>
      <c r="AA58" s="113"/>
      <c r="AB58" s="113"/>
      <c r="AC58" s="113">
        <v>65000</v>
      </c>
      <c r="AD58" s="113">
        <v>47000</v>
      </c>
      <c r="AE58" s="113">
        <v>55000</v>
      </c>
      <c r="AF58" s="113">
        <v>55000</v>
      </c>
      <c r="AG58" s="113">
        <v>6000</v>
      </c>
      <c r="AH58" s="113">
        <v>15000</v>
      </c>
      <c r="AI58" s="113">
        <v>24000</v>
      </c>
      <c r="AJ58" s="113">
        <v>24000</v>
      </c>
      <c r="AK58" s="113"/>
      <c r="AL58" s="113">
        <v>30000</v>
      </c>
      <c r="AM58" s="113"/>
      <c r="AN58" s="113"/>
      <c r="AO58" s="113"/>
      <c r="AP58" s="113"/>
      <c r="AQ58" s="113">
        <v>4500</v>
      </c>
      <c r="AR58" s="113">
        <v>4500</v>
      </c>
      <c r="AS58" s="113">
        <v>100000</v>
      </c>
      <c r="AT58" s="113">
        <v>100000</v>
      </c>
      <c r="AU58" s="113">
        <v>100000</v>
      </c>
      <c r="AV58" s="113">
        <v>35000</v>
      </c>
      <c r="AW58" s="113">
        <v>5000</v>
      </c>
      <c r="AX58" s="113">
        <v>235000</v>
      </c>
      <c r="AY58" s="113">
        <v>3170000</v>
      </c>
      <c r="AZ58" s="113"/>
      <c r="BA58" s="113"/>
      <c r="BB58" s="113"/>
    </row>
    <row r="59" spans="1:54" ht="31.5">
      <c r="A59" s="210"/>
      <c r="B59" s="11">
        <v>205</v>
      </c>
      <c r="C59" s="15" t="s">
        <v>81</v>
      </c>
      <c r="D59" s="68"/>
      <c r="E59" s="155">
        <v>805233</v>
      </c>
      <c r="F59" s="155">
        <f>E59-G59</f>
        <v>0</v>
      </c>
      <c r="G59" s="113">
        <f>SUM(H59:BB59)</f>
        <v>805233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>
        <f>1342055-536822</f>
        <v>805233</v>
      </c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</row>
    <row r="60" spans="1:54" ht="15.75">
      <c r="A60" s="210"/>
      <c r="B60" s="11">
        <v>208</v>
      </c>
      <c r="C60" s="16" t="s">
        <v>82</v>
      </c>
      <c r="D60" s="16"/>
      <c r="E60" s="155">
        <v>3456507</v>
      </c>
      <c r="F60" s="155">
        <f>E60-G60</f>
        <v>0</v>
      </c>
      <c r="G60" s="113">
        <f>SUM(H60:BB60)</f>
        <v>3456507</v>
      </c>
      <c r="H60" s="113"/>
      <c r="I60" s="113">
        <v>195000</v>
      </c>
      <c r="J60" s="113">
        <v>325000</v>
      </c>
      <c r="K60" s="113">
        <v>200000</v>
      </c>
      <c r="L60" s="113">
        <v>20000</v>
      </c>
      <c r="M60" s="113">
        <v>117000</v>
      </c>
      <c r="N60" s="113">
        <v>109000</v>
      </c>
      <c r="O60" s="113">
        <v>110000</v>
      </c>
      <c r="P60" s="113">
        <v>40000</v>
      </c>
      <c r="Q60" s="113">
        <v>350000</v>
      </c>
      <c r="R60" s="113">
        <v>225000</v>
      </c>
      <c r="S60" s="113">
        <v>74000</v>
      </c>
      <c r="T60" s="113">
        <v>544800</v>
      </c>
      <c r="U60" s="113">
        <v>709000</v>
      </c>
      <c r="V60" s="113">
        <v>127500</v>
      </c>
      <c r="W60" s="113">
        <v>96500</v>
      </c>
      <c r="X60" s="113"/>
      <c r="Y60" s="113"/>
      <c r="Z60" s="113">
        <v>84250</v>
      </c>
      <c r="AA60" s="113">
        <v>4050</v>
      </c>
      <c r="AB60" s="113">
        <v>21000</v>
      </c>
      <c r="AC60" s="113"/>
      <c r="AD60" s="113"/>
      <c r="AE60" s="113"/>
      <c r="AF60" s="113"/>
      <c r="AG60" s="113"/>
      <c r="AH60" s="113"/>
      <c r="AI60" s="113">
        <v>46000</v>
      </c>
      <c r="AJ60" s="113"/>
      <c r="AK60" s="113"/>
      <c r="AL60" s="113"/>
      <c r="AM60" s="113"/>
      <c r="AN60" s="113">
        <v>8150</v>
      </c>
      <c r="AO60" s="113"/>
      <c r="AP60" s="113"/>
      <c r="AQ60" s="113"/>
      <c r="AR60" s="113"/>
      <c r="AS60" s="113"/>
      <c r="AT60" s="113"/>
      <c r="AU60" s="113"/>
      <c r="AV60" s="113">
        <f>65357-15100</f>
        <v>50257</v>
      </c>
      <c r="AW60" s="113"/>
      <c r="AX60" s="113"/>
      <c r="AY60" s="113"/>
      <c r="AZ60" s="113"/>
      <c r="BA60" s="113"/>
      <c r="BB60" s="113"/>
    </row>
    <row r="61" spans="1:54" s="169" customFormat="1" ht="31.5" customHeight="1">
      <c r="A61" s="13">
        <v>500</v>
      </c>
      <c r="B61" s="366" t="s">
        <v>154</v>
      </c>
      <c r="C61" s="366"/>
      <c r="D61" s="189"/>
      <c r="E61" s="201">
        <v>14069310</v>
      </c>
      <c r="F61" s="202">
        <f>E61-G61</f>
        <v>7.0907998830080032E-2</v>
      </c>
      <c r="G61" s="202">
        <f>SUM(H61:BB61)</f>
        <v>14069309.929092001</v>
      </c>
      <c r="H61" s="201">
        <f>((((H55+H57)*19.02%)+(((H58*0.75)*15.82%))))*0.92</f>
        <v>195919.56710399999</v>
      </c>
      <c r="I61" s="201">
        <f t="shared" ref="I61:W61" si="29">((((I55+I57)*19.02%)+(((I58*0.75)*15.82%))))*0.92</f>
        <v>751368.46972800011</v>
      </c>
      <c r="J61" s="201">
        <f t="shared" si="29"/>
        <v>528220.19052000006</v>
      </c>
      <c r="K61" s="201">
        <f t="shared" si="29"/>
        <v>498745.91205599997</v>
      </c>
      <c r="L61" s="201">
        <f t="shared" si="29"/>
        <v>406895.57949600002</v>
      </c>
      <c r="M61" s="201">
        <f t="shared" si="29"/>
        <v>399135.65954400005</v>
      </c>
      <c r="N61" s="201">
        <f t="shared" si="29"/>
        <v>324137.16000000003</v>
      </c>
      <c r="O61" s="201">
        <f t="shared" si="29"/>
        <v>752581.43342400005</v>
      </c>
      <c r="P61" s="201">
        <f t="shared" si="29"/>
        <v>1247248.1168160001</v>
      </c>
      <c r="Q61" s="201">
        <f t="shared" si="29"/>
        <v>1229353.6275599999</v>
      </c>
      <c r="R61" s="201">
        <f t="shared" si="29"/>
        <v>625942.47828000004</v>
      </c>
      <c r="S61" s="201">
        <f t="shared" si="29"/>
        <v>299226.93180000002</v>
      </c>
      <c r="T61" s="201">
        <f t="shared" si="29"/>
        <v>860282.28093600017</v>
      </c>
      <c r="U61" s="201">
        <f t="shared" si="29"/>
        <v>1156654.0909920002</v>
      </c>
      <c r="V61" s="201">
        <f t="shared" si="29"/>
        <v>827156.14435200009</v>
      </c>
      <c r="W61" s="201">
        <f t="shared" si="29"/>
        <v>776844.54098400008</v>
      </c>
      <c r="X61" s="201">
        <f t="shared" ref="X61:BB61" si="30">((((X55+X57)*19.02%)+(((X58*0.75)*15.82%))))*0.95</f>
        <v>150545.15099999998</v>
      </c>
      <c r="Y61" s="201">
        <f t="shared" si="30"/>
        <v>125803.27499999999</v>
      </c>
      <c r="Z61" s="201">
        <f t="shared" si="30"/>
        <v>188554.57499999998</v>
      </c>
      <c r="AA61" s="201">
        <f t="shared" si="30"/>
        <v>68662.2</v>
      </c>
      <c r="AB61" s="201">
        <f t="shared" si="30"/>
        <v>271035</v>
      </c>
      <c r="AC61" s="201">
        <f t="shared" si="30"/>
        <v>7326.6374999999998</v>
      </c>
      <c r="AD61" s="201">
        <f t="shared" si="30"/>
        <v>19391.5425</v>
      </c>
      <c r="AE61" s="201">
        <f t="shared" si="30"/>
        <v>19028.452499999999</v>
      </c>
      <c r="AF61" s="201">
        <f t="shared" si="30"/>
        <v>16137.412499999999</v>
      </c>
      <c r="AG61" s="201">
        <f t="shared" si="30"/>
        <v>3386.6549999999997</v>
      </c>
      <c r="AH61" s="201">
        <f t="shared" si="30"/>
        <v>5232.2865000000002</v>
      </c>
      <c r="AI61" s="201">
        <f>((((AI55+AI57)*19.02%)+(((AI58*0.75)*15.82%))))*0.92</f>
        <v>457578.19199999998</v>
      </c>
      <c r="AJ61" s="201">
        <f t="shared" si="30"/>
        <v>111119.22</v>
      </c>
      <c r="AK61" s="201">
        <f t="shared" si="30"/>
        <v>12467.61</v>
      </c>
      <c r="AL61" s="201">
        <f t="shared" si="30"/>
        <v>3381.5249999999996</v>
      </c>
      <c r="AM61" s="201">
        <f t="shared" si="30"/>
        <v>30789.576000000001</v>
      </c>
      <c r="AN61" s="201">
        <f t="shared" si="30"/>
        <v>26200.05</v>
      </c>
      <c r="AO61" s="201">
        <f t="shared" si="30"/>
        <v>24573.84</v>
      </c>
      <c r="AP61" s="201">
        <f t="shared" si="30"/>
        <v>10841.4</v>
      </c>
      <c r="AQ61" s="201">
        <f t="shared" si="30"/>
        <v>507.22875000000005</v>
      </c>
      <c r="AR61" s="201">
        <f t="shared" si="30"/>
        <v>14962.428749999999</v>
      </c>
      <c r="AS61" s="201">
        <f t="shared" si="30"/>
        <v>25726.949999999997</v>
      </c>
      <c r="AT61" s="201">
        <f t="shared" si="30"/>
        <v>39278.699999999997</v>
      </c>
      <c r="AU61" s="201">
        <f>((((AU55+AU57)*19.02%)+(((AU58*0.75)*15.82%))))</f>
        <v>163074</v>
      </c>
      <c r="AV61" s="201">
        <f>((((AV55+AV57)*19.02%)+(((AV58*0.75)*15.82%))))</f>
        <v>442563.75</v>
      </c>
      <c r="AW61" s="201">
        <f>((((AW55+AW57)*19.02%)+(((AW58*0.75)*15.82%))))</f>
        <v>247853.25</v>
      </c>
      <c r="AX61" s="201">
        <f t="shared" si="30"/>
        <v>40040.362499999996</v>
      </c>
      <c r="AY61" s="201">
        <f t="shared" si="30"/>
        <v>628349.47499999998</v>
      </c>
      <c r="AZ61" s="201">
        <f>((((AZ55+AZ57)*19.02%)+(((AZ58*0.75)*15.82%))))</f>
        <v>35187</v>
      </c>
      <c r="BA61" s="201">
        <f t="shared" si="30"/>
        <v>0</v>
      </c>
      <c r="BB61" s="201">
        <f t="shared" si="30"/>
        <v>0</v>
      </c>
    </row>
    <row r="62" spans="1:54" ht="15.75">
      <c r="A62" s="13">
        <v>1000</v>
      </c>
      <c r="B62" s="365" t="s">
        <v>32</v>
      </c>
      <c r="C62" s="365"/>
      <c r="D62" s="164"/>
      <c r="E62" s="112">
        <f>SUBTOTAL(9,E63:E77)</f>
        <v>20896609</v>
      </c>
      <c r="F62" s="112">
        <f>SUBTOTAL(9,F63:F77)</f>
        <v>0</v>
      </c>
      <c r="G62" s="112">
        <f t="shared" ref="G62:BB62" si="31">SUBTOTAL(9,G63:G77)</f>
        <v>20896609</v>
      </c>
      <c r="H62" s="112">
        <f t="shared" si="31"/>
        <v>132000</v>
      </c>
      <c r="I62" s="112">
        <f t="shared" si="31"/>
        <v>391000</v>
      </c>
      <c r="J62" s="112">
        <f t="shared" si="31"/>
        <v>355000</v>
      </c>
      <c r="K62" s="112">
        <f t="shared" si="31"/>
        <v>308000</v>
      </c>
      <c r="L62" s="112">
        <f t="shared" si="31"/>
        <v>657000</v>
      </c>
      <c r="M62" s="112">
        <f t="shared" si="31"/>
        <v>270000</v>
      </c>
      <c r="N62" s="112">
        <f t="shared" si="31"/>
        <v>224000</v>
      </c>
      <c r="O62" s="112">
        <f t="shared" si="31"/>
        <v>434000</v>
      </c>
      <c r="P62" s="112">
        <f t="shared" si="31"/>
        <v>547000</v>
      </c>
      <c r="Q62" s="112">
        <f t="shared" si="31"/>
        <v>807000</v>
      </c>
      <c r="R62" s="112">
        <f t="shared" si="31"/>
        <v>314000</v>
      </c>
      <c r="S62" s="112">
        <f t="shared" si="31"/>
        <v>159000</v>
      </c>
      <c r="T62" s="112">
        <f t="shared" si="31"/>
        <v>361000</v>
      </c>
      <c r="U62" s="112">
        <f t="shared" si="31"/>
        <v>409000</v>
      </c>
      <c r="V62" s="112">
        <f t="shared" si="31"/>
        <v>457500</v>
      </c>
      <c r="W62" s="112">
        <f t="shared" si="31"/>
        <v>484000</v>
      </c>
      <c r="X62" s="112">
        <f t="shared" si="31"/>
        <v>199800</v>
      </c>
      <c r="Y62" s="112">
        <f t="shared" si="31"/>
        <v>141000</v>
      </c>
      <c r="Z62" s="112">
        <f t="shared" si="31"/>
        <v>220000</v>
      </c>
      <c r="AA62" s="112">
        <f t="shared" si="31"/>
        <v>26800</v>
      </c>
      <c r="AB62" s="112">
        <f t="shared" si="31"/>
        <v>900800</v>
      </c>
      <c r="AC62" s="112">
        <f t="shared" si="31"/>
        <v>237792</v>
      </c>
      <c r="AD62" s="112">
        <f t="shared" si="31"/>
        <v>45400</v>
      </c>
      <c r="AE62" s="112">
        <f t="shared" si="31"/>
        <v>30000</v>
      </c>
      <c r="AF62" s="112">
        <f t="shared" si="31"/>
        <v>23500</v>
      </c>
      <c r="AG62" s="112">
        <f t="shared" si="31"/>
        <v>23030</v>
      </c>
      <c r="AH62" s="112">
        <f t="shared" si="31"/>
        <v>17000</v>
      </c>
      <c r="AI62" s="112">
        <f t="shared" si="31"/>
        <v>361530</v>
      </c>
      <c r="AJ62" s="112">
        <f t="shared" si="31"/>
        <v>44000</v>
      </c>
      <c r="AK62" s="112">
        <f t="shared" si="31"/>
        <v>17165</v>
      </c>
      <c r="AL62" s="112">
        <f t="shared" si="31"/>
        <v>25550</v>
      </c>
      <c r="AM62" s="112">
        <f t="shared" si="31"/>
        <v>3559855</v>
      </c>
      <c r="AN62" s="112">
        <f t="shared" si="31"/>
        <v>61250</v>
      </c>
      <c r="AO62" s="112">
        <f t="shared" si="31"/>
        <v>65300</v>
      </c>
      <c r="AP62" s="112">
        <f t="shared" si="31"/>
        <v>35250</v>
      </c>
      <c r="AQ62" s="112">
        <f t="shared" si="31"/>
        <v>15100</v>
      </c>
      <c r="AR62" s="112">
        <f t="shared" si="31"/>
        <v>59310</v>
      </c>
      <c r="AS62" s="112">
        <f t="shared" si="31"/>
        <v>1983300</v>
      </c>
      <c r="AT62" s="112">
        <f t="shared" si="31"/>
        <v>146200</v>
      </c>
      <c r="AU62" s="112">
        <f t="shared" si="31"/>
        <v>437000</v>
      </c>
      <c r="AV62" s="112">
        <f t="shared" si="31"/>
        <v>2658000</v>
      </c>
      <c r="AW62" s="112">
        <f t="shared" si="31"/>
        <v>603500</v>
      </c>
      <c r="AX62" s="112">
        <f t="shared" si="31"/>
        <v>410077</v>
      </c>
      <c r="AY62" s="112">
        <f t="shared" si="31"/>
        <v>2104700</v>
      </c>
      <c r="AZ62" s="112">
        <f t="shared" si="31"/>
        <v>134900</v>
      </c>
      <c r="BA62" s="112">
        <f t="shared" si="31"/>
        <v>0</v>
      </c>
      <c r="BB62" s="112">
        <f t="shared" si="31"/>
        <v>0</v>
      </c>
    </row>
    <row r="63" spans="1:54" ht="15.75">
      <c r="A63" s="14"/>
      <c r="B63" s="11">
        <v>1011</v>
      </c>
      <c r="C63" s="15" t="s">
        <v>33</v>
      </c>
      <c r="D63" s="68"/>
      <c r="E63" s="155">
        <v>189000</v>
      </c>
      <c r="F63" s="155">
        <f t="shared" ref="F63:F77" si="32">E63-G63</f>
        <v>0</v>
      </c>
      <c r="G63" s="113">
        <f t="shared" ref="G63:G77" si="33">SUM(H63:BB63)</f>
        <v>189000</v>
      </c>
      <c r="H63" s="113"/>
      <c r="I63" s="113">
        <v>1500</v>
      </c>
      <c r="J63" s="113"/>
      <c r="K63" s="113"/>
      <c r="L63" s="113"/>
      <c r="M63" s="113"/>
      <c r="N63" s="113"/>
      <c r="O63" s="113"/>
      <c r="P63" s="113"/>
      <c r="Q63" s="113">
        <v>8000</v>
      </c>
      <c r="R63" s="113"/>
      <c r="S63" s="113"/>
      <c r="T63" s="113"/>
      <c r="U63" s="113"/>
      <c r="V63" s="113">
        <v>3500</v>
      </c>
      <c r="W63" s="113"/>
      <c r="X63" s="113">
        <v>4500</v>
      </c>
      <c r="Y63" s="113">
        <v>2000</v>
      </c>
      <c r="Z63" s="113"/>
      <c r="AA63" s="113"/>
      <c r="AB63" s="113"/>
      <c r="AC63" s="113">
        <v>2000</v>
      </c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>
        <v>5500</v>
      </c>
      <c r="AO63" s="113">
        <v>7000</v>
      </c>
      <c r="AP63" s="113"/>
      <c r="AQ63" s="113"/>
      <c r="AR63" s="113"/>
      <c r="AS63" s="113">
        <v>155000</v>
      </c>
      <c r="AT63" s="113"/>
      <c r="AU63" s="113"/>
      <c r="AV63" s="113">
        <v>0</v>
      </c>
      <c r="AW63" s="113"/>
      <c r="AX63" s="113"/>
      <c r="AY63" s="113"/>
      <c r="AZ63" s="113"/>
      <c r="BA63" s="113"/>
      <c r="BB63" s="113"/>
    </row>
    <row r="64" spans="1:54" ht="15.75">
      <c r="A64" s="14"/>
      <c r="B64" s="11">
        <v>1012</v>
      </c>
      <c r="C64" s="15" t="s">
        <v>34</v>
      </c>
      <c r="D64" s="68"/>
      <c r="E64" s="155">
        <v>21000</v>
      </c>
      <c r="F64" s="155">
        <f t="shared" si="32"/>
        <v>0</v>
      </c>
      <c r="G64" s="113">
        <f t="shared" si="33"/>
        <v>21000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>
        <v>500</v>
      </c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>
        <v>500</v>
      </c>
      <c r="AP64" s="113"/>
      <c r="AQ64" s="113"/>
      <c r="AR64" s="113"/>
      <c r="AS64" s="113">
        <v>19000</v>
      </c>
      <c r="AT64" s="113"/>
      <c r="AU64" s="113"/>
      <c r="AV64" s="113"/>
      <c r="AW64" s="113">
        <v>1000</v>
      </c>
      <c r="AX64" s="113"/>
      <c r="AY64" s="113"/>
      <c r="AZ64" s="113"/>
      <c r="BA64" s="113"/>
      <c r="BB64" s="113"/>
    </row>
    <row r="65" spans="1:54" ht="15.75">
      <c r="A65" s="14"/>
      <c r="B65" s="11">
        <v>1013</v>
      </c>
      <c r="C65" s="15" t="s">
        <v>35</v>
      </c>
      <c r="D65" s="68"/>
      <c r="E65" s="155">
        <v>88500</v>
      </c>
      <c r="F65" s="155">
        <f t="shared" si="32"/>
        <v>0</v>
      </c>
      <c r="G65" s="113">
        <f t="shared" si="33"/>
        <v>88500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>
        <v>5000</v>
      </c>
      <c r="AO65" s="113">
        <v>5000</v>
      </c>
      <c r="AP65" s="113">
        <v>500</v>
      </c>
      <c r="AQ65" s="113">
        <v>1500</v>
      </c>
      <c r="AR65" s="113"/>
      <c r="AS65" s="113">
        <v>70500</v>
      </c>
      <c r="AT65" s="113"/>
      <c r="AU65" s="113"/>
      <c r="AV65" s="113">
        <v>1000</v>
      </c>
      <c r="AW65" s="113">
        <v>5000</v>
      </c>
      <c r="AX65" s="113"/>
      <c r="AY65" s="113"/>
      <c r="AZ65" s="113"/>
      <c r="BA65" s="113"/>
      <c r="BB65" s="113"/>
    </row>
    <row r="66" spans="1:54" ht="47.25">
      <c r="A66" s="14"/>
      <c r="B66" s="11">
        <v>1014</v>
      </c>
      <c r="C66" s="15" t="s">
        <v>157</v>
      </c>
      <c r="D66" s="68"/>
      <c r="E66" s="155">
        <v>1014530</v>
      </c>
      <c r="F66" s="155">
        <f t="shared" si="32"/>
        <v>0</v>
      </c>
      <c r="G66" s="113">
        <f t="shared" si="33"/>
        <v>1014530</v>
      </c>
      <c r="H66" s="113">
        <v>6000</v>
      </c>
      <c r="I66" s="113">
        <v>10000</v>
      </c>
      <c r="J66" s="113">
        <v>15000</v>
      </c>
      <c r="K66" s="113">
        <v>1000</v>
      </c>
      <c r="L66" s="113">
        <v>55000</v>
      </c>
      <c r="M66" s="113">
        <v>15000</v>
      </c>
      <c r="N66" s="113">
        <v>10000</v>
      </c>
      <c r="O66" s="113">
        <v>20000</v>
      </c>
      <c r="P66" s="113">
        <v>40000</v>
      </c>
      <c r="Q66" s="113">
        <v>50000</v>
      </c>
      <c r="R66" s="113">
        <v>20000</v>
      </c>
      <c r="S66" s="113">
        <v>8000</v>
      </c>
      <c r="T66" s="113">
        <v>9000</v>
      </c>
      <c r="U66" s="113">
        <v>15000</v>
      </c>
      <c r="V66" s="113">
        <v>50000</v>
      </c>
      <c r="W66" s="113">
        <v>20000</v>
      </c>
      <c r="X66" s="113">
        <v>6800</v>
      </c>
      <c r="Y66" s="113">
        <v>5000</v>
      </c>
      <c r="Z66" s="113">
        <v>5000</v>
      </c>
      <c r="AA66" s="113"/>
      <c r="AB66" s="113">
        <v>100000</v>
      </c>
      <c r="AC66" s="113">
        <v>7500</v>
      </c>
      <c r="AD66" s="113"/>
      <c r="AE66" s="113"/>
      <c r="AF66" s="113"/>
      <c r="AG66" s="113">
        <v>1030</v>
      </c>
      <c r="AH66" s="113"/>
      <c r="AI66" s="113"/>
      <c r="AJ66" s="113"/>
      <c r="AK66" s="113"/>
      <c r="AL66" s="113">
        <v>7000</v>
      </c>
      <c r="AM66" s="113"/>
      <c r="AN66" s="113"/>
      <c r="AO66" s="113"/>
      <c r="AP66" s="113"/>
      <c r="AQ66" s="113"/>
      <c r="AR66" s="113"/>
      <c r="AS66" s="113"/>
      <c r="AT66" s="113">
        <f>8806-606</f>
        <v>8200</v>
      </c>
      <c r="AU66" s="113"/>
      <c r="AV66" s="113"/>
      <c r="AW66" s="113">
        <v>5000</v>
      </c>
      <c r="AX66" s="113">
        <v>75000</v>
      </c>
      <c r="AY66" s="113">
        <v>400000</v>
      </c>
      <c r="AZ66" s="113">
        <v>50000</v>
      </c>
      <c r="BA66" s="113"/>
      <c r="BB66" s="113"/>
    </row>
    <row r="67" spans="1:54" ht="47.25">
      <c r="A67" s="14"/>
      <c r="B67" s="11">
        <v>1015</v>
      </c>
      <c r="C67" s="15" t="s">
        <v>156</v>
      </c>
      <c r="D67" s="68"/>
      <c r="E67" s="155">
        <v>2814485</v>
      </c>
      <c r="F67" s="155">
        <f t="shared" si="32"/>
        <v>0</v>
      </c>
      <c r="G67" s="113">
        <f t="shared" si="33"/>
        <v>2814485</v>
      </c>
      <c r="H67" s="113">
        <v>12000</v>
      </c>
      <c r="I67" s="113">
        <v>25000</v>
      </c>
      <c r="J67" s="113">
        <v>10000</v>
      </c>
      <c r="K67" s="113">
        <v>20000</v>
      </c>
      <c r="L67" s="113">
        <v>90000</v>
      </c>
      <c r="M67" s="113">
        <v>25000</v>
      </c>
      <c r="N67" s="113">
        <v>25000</v>
      </c>
      <c r="O67" s="113">
        <v>45000</v>
      </c>
      <c r="P67" s="113">
        <v>20000</v>
      </c>
      <c r="Q67" s="113">
        <v>120000</v>
      </c>
      <c r="R67" s="113">
        <v>35000</v>
      </c>
      <c r="S67" s="113">
        <v>20000</v>
      </c>
      <c r="T67" s="113">
        <v>20000</v>
      </c>
      <c r="U67" s="113">
        <v>40000</v>
      </c>
      <c r="V67" s="113">
        <v>40000</v>
      </c>
      <c r="W67" s="113">
        <v>60000</v>
      </c>
      <c r="X67" s="113">
        <v>5000</v>
      </c>
      <c r="Y67" s="113">
        <v>10500</v>
      </c>
      <c r="Z67" s="113">
        <v>15000</v>
      </c>
      <c r="AA67" s="113">
        <v>6500</v>
      </c>
      <c r="AB67" s="113">
        <v>6000</v>
      </c>
      <c r="AC67" s="113">
        <v>37500</v>
      </c>
      <c r="AD67" s="113">
        <v>10000</v>
      </c>
      <c r="AE67" s="113">
        <v>3000</v>
      </c>
      <c r="AF67" s="113">
        <v>6000</v>
      </c>
      <c r="AG67" s="113">
        <v>3000</v>
      </c>
      <c r="AH67" s="113">
        <v>5500</v>
      </c>
      <c r="AI67" s="113">
        <v>75000</v>
      </c>
      <c r="AJ67" s="113">
        <v>10000</v>
      </c>
      <c r="AK67" s="113">
        <v>6165</v>
      </c>
      <c r="AL67" s="113">
        <v>550</v>
      </c>
      <c r="AM67" s="113">
        <v>147920</v>
      </c>
      <c r="AN67" s="113">
        <v>10000</v>
      </c>
      <c r="AO67" s="113">
        <f>10000-1200</f>
        <v>8800</v>
      </c>
      <c r="AP67" s="113">
        <v>7750</v>
      </c>
      <c r="AQ67" s="113">
        <v>5300</v>
      </c>
      <c r="AR67" s="113">
        <v>5000</v>
      </c>
      <c r="AS67" s="113">
        <v>250000</v>
      </c>
      <c r="AT67" s="113">
        <v>23000</v>
      </c>
      <c r="AU67" s="113">
        <v>275000</v>
      </c>
      <c r="AV67" s="113">
        <v>250000</v>
      </c>
      <c r="AW67" s="113">
        <v>270000</v>
      </c>
      <c r="AX67" s="113">
        <v>75000</v>
      </c>
      <c r="AY67" s="113">
        <v>650000</v>
      </c>
      <c r="AZ67" s="113">
        <v>30000</v>
      </c>
      <c r="BA67" s="113"/>
      <c r="BB67" s="113"/>
    </row>
    <row r="68" spans="1:54" ht="15.75">
      <c r="A68" s="14"/>
      <c r="B68" s="11">
        <v>1016</v>
      </c>
      <c r="C68" s="15" t="s">
        <v>158</v>
      </c>
      <c r="D68" s="68"/>
      <c r="E68" s="155">
        <v>5985000</v>
      </c>
      <c r="F68" s="155">
        <f t="shared" si="32"/>
        <v>0</v>
      </c>
      <c r="G68" s="113">
        <f t="shared" si="33"/>
        <v>5985000</v>
      </c>
      <c r="H68" s="113">
        <v>75000</v>
      </c>
      <c r="I68" s="113">
        <v>195000</v>
      </c>
      <c r="J68" s="113">
        <v>100000</v>
      </c>
      <c r="K68" s="113">
        <v>75000</v>
      </c>
      <c r="L68" s="113">
        <v>240000</v>
      </c>
      <c r="M68" s="113">
        <v>135000</v>
      </c>
      <c r="N68" s="113">
        <v>135000</v>
      </c>
      <c r="O68" s="113">
        <v>240000</v>
      </c>
      <c r="P68" s="113">
        <v>200000</v>
      </c>
      <c r="Q68" s="113">
        <v>220000</v>
      </c>
      <c r="R68" s="113">
        <v>135000</v>
      </c>
      <c r="S68" s="113">
        <v>75000</v>
      </c>
      <c r="T68" s="113">
        <v>200000</v>
      </c>
      <c r="U68" s="113">
        <v>200000</v>
      </c>
      <c r="V68" s="113">
        <v>260000</v>
      </c>
      <c r="W68" s="113">
        <v>130000</v>
      </c>
      <c r="X68" s="113">
        <v>9000</v>
      </c>
      <c r="Y68" s="113">
        <v>90000</v>
      </c>
      <c r="Z68" s="113">
        <v>145000</v>
      </c>
      <c r="AA68" s="113">
        <f>16500-2200</f>
        <v>14300</v>
      </c>
      <c r="AB68" s="113">
        <v>60000</v>
      </c>
      <c r="AC68" s="113">
        <v>6000</v>
      </c>
      <c r="AD68" s="113">
        <f>6000+3400</f>
        <v>9400</v>
      </c>
      <c r="AE68" s="113">
        <v>3000</v>
      </c>
      <c r="AF68" s="113">
        <v>3000</v>
      </c>
      <c r="AG68" s="113">
        <v>6000</v>
      </c>
      <c r="AH68" s="113">
        <v>6000</v>
      </c>
      <c r="AI68" s="113">
        <v>120000</v>
      </c>
      <c r="AJ68" s="113">
        <v>6000</v>
      </c>
      <c r="AK68" s="113">
        <v>6000</v>
      </c>
      <c r="AL68" s="113">
        <v>6000</v>
      </c>
      <c r="AM68" s="113">
        <v>1748090</v>
      </c>
      <c r="AN68" s="113">
        <v>31600</v>
      </c>
      <c r="AO68" s="113">
        <v>31500</v>
      </c>
      <c r="AP68" s="113">
        <v>6000</v>
      </c>
      <c r="AQ68" s="113">
        <v>5300</v>
      </c>
      <c r="AR68" s="113">
        <f>47000-1190</f>
        <v>45810</v>
      </c>
      <c r="AS68" s="113">
        <v>200000</v>
      </c>
      <c r="AT68" s="113">
        <v>6000</v>
      </c>
      <c r="AU68" s="113">
        <v>12000</v>
      </c>
      <c r="AV68" s="113">
        <v>600000</v>
      </c>
      <c r="AW68" s="113">
        <v>150000</v>
      </c>
      <c r="AX68" s="113"/>
      <c r="AY68" s="113">
        <v>20000</v>
      </c>
      <c r="AZ68" s="113">
        <v>24000</v>
      </c>
      <c r="BA68" s="113"/>
      <c r="BB68" s="113"/>
    </row>
    <row r="69" spans="1:54" ht="78.75">
      <c r="A69" s="10"/>
      <c r="B69" s="11">
        <v>1020</v>
      </c>
      <c r="C69" s="12" t="s">
        <v>159</v>
      </c>
      <c r="D69" s="67"/>
      <c r="E69" s="155">
        <v>5260842</v>
      </c>
      <c r="F69" s="155">
        <f t="shared" si="32"/>
        <v>0</v>
      </c>
      <c r="G69" s="113">
        <f t="shared" si="33"/>
        <v>5260842</v>
      </c>
      <c r="H69" s="113">
        <v>25000</v>
      </c>
      <c r="I69" s="113">
        <v>130000</v>
      </c>
      <c r="J69" s="113">
        <v>50000</v>
      </c>
      <c r="K69" s="113">
        <v>60000</v>
      </c>
      <c r="L69" s="113">
        <v>250000</v>
      </c>
      <c r="M69" s="113">
        <v>50000</v>
      </c>
      <c r="N69" s="113">
        <v>35000</v>
      </c>
      <c r="O69" s="113">
        <v>90000</v>
      </c>
      <c r="P69" s="113">
        <v>150000</v>
      </c>
      <c r="Q69" s="113">
        <v>250000</v>
      </c>
      <c r="R69" s="113">
        <v>60000</v>
      </c>
      <c r="S69" s="113">
        <v>40000</v>
      </c>
      <c r="T69" s="113">
        <v>90000</v>
      </c>
      <c r="U69" s="113">
        <v>90000</v>
      </c>
      <c r="V69" s="113">
        <v>60000</v>
      </c>
      <c r="W69" s="113">
        <v>150000</v>
      </c>
      <c r="X69" s="113">
        <v>150000</v>
      </c>
      <c r="Y69" s="113">
        <v>9500</v>
      </c>
      <c r="Z69" s="113">
        <v>32000</v>
      </c>
      <c r="AA69" s="113">
        <v>6000</v>
      </c>
      <c r="AB69" s="113">
        <f>730000-19200</f>
        <v>710800</v>
      </c>
      <c r="AC69" s="113">
        <f>65000+41750-30000-6958</f>
        <v>69792</v>
      </c>
      <c r="AD69" s="113">
        <v>26000</v>
      </c>
      <c r="AE69" s="113">
        <v>24000</v>
      </c>
      <c r="AF69" s="113">
        <v>12000</v>
      </c>
      <c r="AG69" s="113">
        <v>3000</v>
      </c>
      <c r="AH69" s="113">
        <v>5500</v>
      </c>
      <c r="AI69" s="113">
        <v>90000</v>
      </c>
      <c r="AJ69" s="113">
        <v>28000</v>
      </c>
      <c r="AK69" s="113">
        <v>5000</v>
      </c>
      <c r="AL69" s="113">
        <v>12000</v>
      </c>
      <c r="AM69" s="113">
        <f>266000+1023</f>
        <v>267023</v>
      </c>
      <c r="AN69" s="113">
        <f>6000-1850</f>
        <v>4150</v>
      </c>
      <c r="AO69" s="113">
        <v>6000</v>
      </c>
      <c r="AP69" s="113">
        <v>12000</v>
      </c>
      <c r="AQ69" s="113">
        <v>1500</v>
      </c>
      <c r="AR69" s="113">
        <v>1500</v>
      </c>
      <c r="AS69" s="113">
        <v>750000</v>
      </c>
      <c r="AT69" s="113">
        <v>85000</v>
      </c>
      <c r="AU69" s="113">
        <v>150000</v>
      </c>
      <c r="AV69" s="113">
        <v>250000</v>
      </c>
      <c r="AW69" s="113">
        <v>150000</v>
      </c>
      <c r="AX69" s="113">
        <v>200077</v>
      </c>
      <c r="AY69" s="113">
        <v>600000</v>
      </c>
      <c r="AZ69" s="113">
        <v>20000</v>
      </c>
      <c r="BA69" s="113"/>
      <c r="BB69" s="113"/>
    </row>
    <row r="70" spans="1:54" ht="15.75">
      <c r="A70" s="14"/>
      <c r="B70" s="11">
        <v>1030</v>
      </c>
      <c r="C70" s="15" t="s">
        <v>36</v>
      </c>
      <c r="D70" s="68"/>
      <c r="E70" s="155">
        <v>2172930</v>
      </c>
      <c r="F70" s="155">
        <f t="shared" si="32"/>
        <v>0</v>
      </c>
      <c r="G70" s="113">
        <f t="shared" si="33"/>
        <v>2172930</v>
      </c>
      <c r="H70" s="113">
        <v>12000</v>
      </c>
      <c r="I70" s="113">
        <v>12000</v>
      </c>
      <c r="J70" s="113">
        <v>50000</v>
      </c>
      <c r="K70" s="113">
        <v>12000</v>
      </c>
      <c r="L70" s="113">
        <v>12000</v>
      </c>
      <c r="M70" s="113">
        <v>20000</v>
      </c>
      <c r="N70" s="113">
        <v>12000</v>
      </c>
      <c r="O70" s="113">
        <v>24000</v>
      </c>
      <c r="P70" s="113">
        <v>12000</v>
      </c>
      <c r="Q70" s="113">
        <v>24000</v>
      </c>
      <c r="R70" s="113">
        <v>24000</v>
      </c>
      <c r="S70" s="113">
        <v>12000</v>
      </c>
      <c r="T70" s="113">
        <v>12000</v>
      </c>
      <c r="U70" s="113">
        <v>24000</v>
      </c>
      <c r="V70" s="113">
        <v>24000</v>
      </c>
      <c r="W70" s="113">
        <v>24000</v>
      </c>
      <c r="X70" s="113"/>
      <c r="Y70" s="113">
        <v>6000</v>
      </c>
      <c r="Z70" s="113">
        <v>6000</v>
      </c>
      <c r="AA70" s="113"/>
      <c r="AB70" s="113">
        <v>24000</v>
      </c>
      <c r="AC70" s="113"/>
      <c r="AD70" s="113"/>
      <c r="AE70" s="113"/>
      <c r="AF70" s="113"/>
      <c r="AG70" s="113"/>
      <c r="AH70" s="113"/>
      <c r="AI70" s="113">
        <v>28530</v>
      </c>
      <c r="AJ70" s="113"/>
      <c r="AK70" s="113"/>
      <c r="AL70" s="113"/>
      <c r="AM70" s="113"/>
      <c r="AN70" s="113"/>
      <c r="AO70" s="113">
        <v>3000</v>
      </c>
      <c r="AP70" s="113">
        <v>3000</v>
      </c>
      <c r="AQ70" s="113"/>
      <c r="AR70" s="113">
        <v>5500</v>
      </c>
      <c r="AS70" s="113">
        <v>150000</v>
      </c>
      <c r="AT70" s="113"/>
      <c r="AU70" s="113"/>
      <c r="AV70" s="113">
        <v>1556000</v>
      </c>
      <c r="AW70" s="113">
        <v>10000</v>
      </c>
      <c r="AX70" s="113"/>
      <c r="AY70" s="113">
        <v>60000</v>
      </c>
      <c r="AZ70" s="113">
        <v>10900</v>
      </c>
      <c r="BA70" s="113"/>
      <c r="BB70" s="113"/>
    </row>
    <row r="71" spans="1:54" ht="15.75">
      <c r="A71" s="14"/>
      <c r="B71" s="11">
        <v>1051</v>
      </c>
      <c r="C71" s="15" t="s">
        <v>83</v>
      </c>
      <c r="D71" s="68"/>
      <c r="E71" s="155">
        <v>824500</v>
      </c>
      <c r="F71" s="155">
        <f t="shared" si="32"/>
        <v>0</v>
      </c>
      <c r="G71" s="113">
        <f t="shared" si="33"/>
        <v>824500</v>
      </c>
      <c r="H71" s="113">
        <v>1000</v>
      </c>
      <c r="I71" s="113">
        <v>10000</v>
      </c>
      <c r="J71" s="113">
        <v>110000</v>
      </c>
      <c r="K71" s="113">
        <v>120000</v>
      </c>
      <c r="L71" s="113">
        <v>5000</v>
      </c>
      <c r="M71" s="113">
        <v>5000</v>
      </c>
      <c r="N71" s="113">
        <v>2000</v>
      </c>
      <c r="O71" s="113">
        <v>7500</v>
      </c>
      <c r="P71" s="113">
        <v>5000</v>
      </c>
      <c r="Q71" s="113">
        <v>35000</v>
      </c>
      <c r="R71" s="113">
        <v>30000</v>
      </c>
      <c r="S71" s="113">
        <v>3000</v>
      </c>
      <c r="T71" s="113">
        <v>7500</v>
      </c>
      <c r="U71" s="113">
        <v>20000</v>
      </c>
      <c r="V71" s="113">
        <v>15000</v>
      </c>
      <c r="W71" s="113">
        <v>50000</v>
      </c>
      <c r="X71" s="113">
        <v>24000</v>
      </c>
      <c r="Y71" s="113">
        <v>12000</v>
      </c>
      <c r="Z71" s="113">
        <v>5000</v>
      </c>
      <c r="AA71" s="113"/>
      <c r="AB71" s="113"/>
      <c r="AC71" s="113">
        <v>35000</v>
      </c>
      <c r="AD71" s="113"/>
      <c r="AE71" s="113"/>
      <c r="AF71" s="113">
        <v>2500</v>
      </c>
      <c r="AG71" s="113">
        <v>5000</v>
      </c>
      <c r="AH71" s="113"/>
      <c r="AI71" s="113">
        <v>24000</v>
      </c>
      <c r="AJ71" s="113"/>
      <c r="AK71" s="113"/>
      <c r="AL71" s="113"/>
      <c r="AM71" s="113"/>
      <c r="AN71" s="113">
        <v>5000</v>
      </c>
      <c r="AO71" s="113">
        <v>3500</v>
      </c>
      <c r="AP71" s="113">
        <v>6000</v>
      </c>
      <c r="AQ71" s="113">
        <v>1500</v>
      </c>
      <c r="AR71" s="113">
        <v>1500</v>
      </c>
      <c r="AS71" s="113">
        <v>25000</v>
      </c>
      <c r="AT71" s="113"/>
      <c r="AU71" s="113"/>
      <c r="AV71" s="113">
        <v>1000</v>
      </c>
      <c r="AW71" s="113">
        <v>7500</v>
      </c>
      <c r="AX71" s="113">
        <v>20000</v>
      </c>
      <c r="AY71" s="113">
        <v>220000</v>
      </c>
      <c r="AZ71" s="113"/>
      <c r="BA71" s="113"/>
      <c r="BB71" s="113"/>
    </row>
    <row r="72" spans="1:54" ht="15.75">
      <c r="A72" s="14"/>
      <c r="B72" s="11">
        <v>1052</v>
      </c>
      <c r="C72" s="15" t="s">
        <v>84</v>
      </c>
      <c r="D72" s="68"/>
      <c r="E72" s="155">
        <v>1407500</v>
      </c>
      <c r="F72" s="155">
        <f t="shared" si="32"/>
        <v>0</v>
      </c>
      <c r="G72" s="113">
        <f t="shared" si="33"/>
        <v>1407500</v>
      </c>
      <c r="H72" s="113">
        <v>1000</v>
      </c>
      <c r="I72" s="113">
        <v>7500</v>
      </c>
      <c r="J72" s="113">
        <v>20000</v>
      </c>
      <c r="K72" s="113">
        <v>20000</v>
      </c>
      <c r="L72" s="113">
        <v>5000</v>
      </c>
      <c r="M72" s="113">
        <v>20000</v>
      </c>
      <c r="N72" s="113">
        <v>5000</v>
      </c>
      <c r="O72" s="113">
        <v>7500</v>
      </c>
      <c r="P72" s="113">
        <v>120000</v>
      </c>
      <c r="Q72" s="113">
        <v>100000</v>
      </c>
      <c r="R72" s="113">
        <v>10000</v>
      </c>
      <c r="S72" s="113">
        <v>1000</v>
      </c>
      <c r="T72" s="113">
        <v>22500</v>
      </c>
      <c r="U72" s="113">
        <v>20000</v>
      </c>
      <c r="V72" s="113">
        <v>5000</v>
      </c>
      <c r="W72" s="113">
        <v>50000</v>
      </c>
      <c r="X72" s="113"/>
      <c r="Y72" s="113">
        <v>6000</v>
      </c>
      <c r="Z72" s="113">
        <v>12000</v>
      </c>
      <c r="AA72" s="113"/>
      <c r="AB72" s="113"/>
      <c r="AC72" s="113">
        <v>80000</v>
      </c>
      <c r="AD72" s="113"/>
      <c r="AE72" s="113"/>
      <c r="AF72" s="113"/>
      <c r="AG72" s="113">
        <v>5000</v>
      </c>
      <c r="AH72" s="113"/>
      <c r="AI72" s="113">
        <v>24000</v>
      </c>
      <c r="AJ72" s="113"/>
      <c r="AK72" s="113"/>
      <c r="AL72" s="113"/>
      <c r="AM72" s="113">
        <v>300000</v>
      </c>
      <c r="AN72" s="113"/>
      <c r="AO72" s="113"/>
      <c r="AP72" s="113"/>
      <c r="AQ72" s="113"/>
      <c r="AR72" s="113"/>
      <c r="AS72" s="113">
        <v>350000</v>
      </c>
      <c r="AT72" s="113">
        <v>24000</v>
      </c>
      <c r="AU72" s="113"/>
      <c r="AV72" s="113"/>
      <c r="AW72" s="113">
        <v>2000</v>
      </c>
      <c r="AX72" s="113">
        <v>40000</v>
      </c>
      <c r="AY72" s="113">
        <v>150000</v>
      </c>
      <c r="AZ72" s="113"/>
      <c r="BA72" s="113"/>
      <c r="BB72" s="113"/>
    </row>
    <row r="73" spans="1:54" ht="15.75">
      <c r="A73" s="14"/>
      <c r="B73" s="11">
        <v>1062</v>
      </c>
      <c r="C73" s="12" t="s">
        <v>85</v>
      </c>
      <c r="D73" s="67"/>
      <c r="E73" s="155">
        <v>50000</v>
      </c>
      <c r="F73" s="155">
        <f t="shared" si="32"/>
        <v>0</v>
      </c>
      <c r="G73" s="113">
        <f t="shared" si="33"/>
        <v>50000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>
        <v>30000</v>
      </c>
      <c r="AN73" s="113"/>
      <c r="AO73" s="113"/>
      <c r="AP73" s="113"/>
      <c r="AQ73" s="113"/>
      <c r="AR73" s="113"/>
      <c r="AS73" s="113">
        <v>13800</v>
      </c>
      <c r="AT73" s="113"/>
      <c r="AU73" s="113"/>
      <c r="AV73" s="113"/>
      <c r="AW73" s="113">
        <v>3000</v>
      </c>
      <c r="AX73" s="113"/>
      <c r="AY73" s="113">
        <v>3200</v>
      </c>
      <c r="AZ73" s="113"/>
      <c r="BA73" s="113"/>
      <c r="BB73" s="113"/>
    </row>
    <row r="74" spans="1:54" ht="15.75">
      <c r="A74" s="14"/>
      <c r="B74" s="11">
        <v>1069</v>
      </c>
      <c r="C74" s="16" t="s">
        <v>86</v>
      </c>
      <c r="D74" s="16"/>
      <c r="E74" s="155">
        <v>31500</v>
      </c>
      <c r="F74" s="155">
        <f t="shared" si="32"/>
        <v>0</v>
      </c>
      <c r="G74" s="113">
        <f t="shared" si="33"/>
        <v>31500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>
        <v>30000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>
        <v>1500</v>
      </c>
      <c r="AZ74" s="113"/>
      <c r="BA74" s="113"/>
      <c r="BB74" s="113"/>
    </row>
    <row r="75" spans="1:54" ht="15.75">
      <c r="A75" s="10"/>
      <c r="B75" s="11">
        <v>1091</v>
      </c>
      <c r="C75" s="15" t="s">
        <v>37</v>
      </c>
      <c r="D75" s="68"/>
      <c r="E75" s="155">
        <v>536822</v>
      </c>
      <c r="F75" s="155">
        <f t="shared" si="32"/>
        <v>0</v>
      </c>
      <c r="G75" s="113">
        <f t="shared" si="33"/>
        <v>536822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>
        <v>536822</v>
      </c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</row>
    <row r="76" spans="1:54" ht="31.5">
      <c r="A76" s="14"/>
      <c r="B76" s="11">
        <v>1092</v>
      </c>
      <c r="C76" s="15" t="s">
        <v>38</v>
      </c>
      <c r="D76" s="68"/>
      <c r="E76" s="155">
        <v>500000</v>
      </c>
      <c r="F76" s="155">
        <f t="shared" si="32"/>
        <v>0</v>
      </c>
      <c r="G76" s="113">
        <f t="shared" si="33"/>
        <v>500000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>
        <v>500000</v>
      </c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</row>
    <row r="77" spans="1:54" ht="15.75">
      <c r="A77" s="14"/>
      <c r="B77" s="11">
        <v>1098</v>
      </c>
      <c r="C77" s="15" t="s">
        <v>39</v>
      </c>
      <c r="D77" s="68"/>
      <c r="E77" s="155">
        <v>0</v>
      </c>
      <c r="F77" s="155">
        <f t="shared" si="32"/>
        <v>0</v>
      </c>
      <c r="G77" s="113">
        <f t="shared" si="33"/>
        <v>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</row>
    <row r="78" spans="1:54" ht="15.75">
      <c r="A78" s="13">
        <v>1900</v>
      </c>
      <c r="B78" s="355" t="s">
        <v>40</v>
      </c>
      <c r="C78" s="355"/>
      <c r="D78" s="161"/>
      <c r="E78" s="112">
        <f>SUBTOTAL(9,E79:E80)</f>
        <v>2900000</v>
      </c>
      <c r="F78" s="112">
        <f>SUBTOTAL(9,F79:F80)</f>
        <v>0</v>
      </c>
      <c r="G78" s="112">
        <f t="shared" ref="G78:AX78" si="34">SUBTOTAL(9,G79:G80)</f>
        <v>2900000</v>
      </c>
      <c r="H78" s="112">
        <f t="shared" si="34"/>
        <v>0</v>
      </c>
      <c r="I78" s="112">
        <f t="shared" si="34"/>
        <v>0</v>
      </c>
      <c r="J78" s="112">
        <f t="shared" si="34"/>
        <v>0</v>
      </c>
      <c r="K78" s="112">
        <f t="shared" si="34"/>
        <v>0</v>
      </c>
      <c r="L78" s="112">
        <f t="shared" si="34"/>
        <v>0</v>
      </c>
      <c r="M78" s="112">
        <f t="shared" si="34"/>
        <v>0</v>
      </c>
      <c r="N78" s="112">
        <f t="shared" si="34"/>
        <v>0</v>
      </c>
      <c r="O78" s="112">
        <f t="shared" si="34"/>
        <v>0</v>
      </c>
      <c r="P78" s="112">
        <f t="shared" si="34"/>
        <v>0</v>
      </c>
      <c r="Q78" s="112">
        <f t="shared" si="34"/>
        <v>0</v>
      </c>
      <c r="R78" s="112">
        <f t="shared" si="34"/>
        <v>0</v>
      </c>
      <c r="S78" s="112">
        <f t="shared" si="34"/>
        <v>0</v>
      </c>
      <c r="T78" s="112">
        <f t="shared" si="34"/>
        <v>0</v>
      </c>
      <c r="U78" s="112">
        <f t="shared" si="34"/>
        <v>0</v>
      </c>
      <c r="V78" s="112">
        <f t="shared" si="34"/>
        <v>0</v>
      </c>
      <c r="W78" s="112">
        <f t="shared" si="34"/>
        <v>0</v>
      </c>
      <c r="X78" s="112">
        <f t="shared" si="34"/>
        <v>0</v>
      </c>
      <c r="Y78" s="112">
        <f t="shared" si="34"/>
        <v>0</v>
      </c>
      <c r="Z78" s="112">
        <f t="shared" si="34"/>
        <v>0</v>
      </c>
      <c r="AA78" s="112">
        <f t="shared" si="34"/>
        <v>0</v>
      </c>
      <c r="AB78" s="112">
        <f t="shared" si="34"/>
        <v>0</v>
      </c>
      <c r="AC78" s="112">
        <f t="shared" si="34"/>
        <v>0</v>
      </c>
      <c r="AD78" s="112">
        <f t="shared" si="34"/>
        <v>0</v>
      </c>
      <c r="AE78" s="112">
        <f t="shared" si="34"/>
        <v>0</v>
      </c>
      <c r="AF78" s="112">
        <f t="shared" si="34"/>
        <v>0</v>
      </c>
      <c r="AG78" s="112">
        <f t="shared" si="34"/>
        <v>0</v>
      </c>
      <c r="AH78" s="112">
        <f t="shared" si="34"/>
        <v>0</v>
      </c>
      <c r="AI78" s="112">
        <f t="shared" si="34"/>
        <v>0</v>
      </c>
      <c r="AJ78" s="112">
        <f t="shared" si="34"/>
        <v>0</v>
      </c>
      <c r="AK78" s="112">
        <f t="shared" si="34"/>
        <v>0</v>
      </c>
      <c r="AL78" s="112">
        <f t="shared" si="34"/>
        <v>0</v>
      </c>
      <c r="AM78" s="112">
        <f t="shared" si="34"/>
        <v>2900000</v>
      </c>
      <c r="AN78" s="112">
        <f t="shared" si="34"/>
        <v>0</v>
      </c>
      <c r="AO78" s="112">
        <f t="shared" si="34"/>
        <v>0</v>
      </c>
      <c r="AP78" s="112">
        <f t="shared" si="34"/>
        <v>0</v>
      </c>
      <c r="AQ78" s="112">
        <f t="shared" si="34"/>
        <v>0</v>
      </c>
      <c r="AR78" s="112">
        <f t="shared" si="34"/>
        <v>0</v>
      </c>
      <c r="AS78" s="112">
        <f t="shared" si="34"/>
        <v>0</v>
      </c>
      <c r="AT78" s="112">
        <f t="shared" si="34"/>
        <v>0</v>
      </c>
      <c r="AU78" s="112">
        <f t="shared" si="34"/>
        <v>0</v>
      </c>
      <c r="AV78" s="112">
        <f t="shared" si="34"/>
        <v>0</v>
      </c>
      <c r="AW78" s="112">
        <f t="shared" si="34"/>
        <v>0</v>
      </c>
      <c r="AX78" s="112">
        <f t="shared" si="34"/>
        <v>0</v>
      </c>
      <c r="AY78" s="112">
        <f>SUBTOTAL(9,AY79:AY80)</f>
        <v>0</v>
      </c>
      <c r="AZ78" s="112">
        <f>SUBTOTAL(9,AZ79:AZ80)</f>
        <v>0</v>
      </c>
      <c r="BA78" s="112">
        <f>SUBTOTAL(9,BA79:BA80)</f>
        <v>0</v>
      </c>
      <c r="BB78" s="112">
        <f>SUBTOTAL(9,BB79:BB80)</f>
        <v>0</v>
      </c>
    </row>
    <row r="79" spans="1:54" ht="31.5">
      <c r="A79" s="14"/>
      <c r="B79" s="11">
        <v>1901</v>
      </c>
      <c r="C79" s="16" t="s">
        <v>87</v>
      </c>
      <c r="D79" s="16"/>
      <c r="E79" s="155">
        <v>100000</v>
      </c>
      <c r="F79" s="155">
        <f>E79-G79</f>
        <v>0</v>
      </c>
      <c r="G79" s="113">
        <f>SUM(H79:BB79)</f>
        <v>100000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>
        <v>100000</v>
      </c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</row>
    <row r="80" spans="1:54" ht="31.5">
      <c r="A80" s="17"/>
      <c r="B80" s="11">
        <v>1981</v>
      </c>
      <c r="C80" s="16" t="s">
        <v>88</v>
      </c>
      <c r="D80" s="16"/>
      <c r="E80" s="155">
        <v>2800000</v>
      </c>
      <c r="F80" s="155">
        <f>E80-G80</f>
        <v>0</v>
      </c>
      <c r="G80" s="113">
        <f>SUM(H80:BB80)</f>
        <v>2800000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>
        <v>2800000</v>
      </c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</row>
    <row r="81" spans="1:54" s="169" customFormat="1" ht="15.75">
      <c r="A81" s="13">
        <v>4000</v>
      </c>
      <c r="B81" s="355" t="s">
        <v>41</v>
      </c>
      <c r="C81" s="355"/>
      <c r="D81" s="187"/>
      <c r="E81" s="202">
        <v>10315676</v>
      </c>
      <c r="F81" s="202">
        <f>E81-G81</f>
        <v>0</v>
      </c>
      <c r="G81" s="202">
        <f>SUM(H81:BB81)</f>
        <v>10315676</v>
      </c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>
        <v>2000</v>
      </c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>
        <f>AM128+300000+191593</f>
        <v>10313676</v>
      </c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</row>
    <row r="82" spans="1:54" s="169" customFormat="1" ht="15.75">
      <c r="A82" s="13">
        <v>4600</v>
      </c>
      <c r="B82" s="368" t="s">
        <v>42</v>
      </c>
      <c r="C82" s="368"/>
      <c r="D82" s="186"/>
      <c r="E82" s="202">
        <v>143259</v>
      </c>
      <c r="F82" s="202">
        <f>E82-G82</f>
        <v>0</v>
      </c>
      <c r="G82" s="202">
        <f>SUM(H82:BB82)</f>
        <v>143259</v>
      </c>
      <c r="H82" s="202"/>
      <c r="I82" s="202"/>
      <c r="J82" s="202">
        <v>655</v>
      </c>
      <c r="K82" s="202"/>
      <c r="L82" s="202"/>
      <c r="M82" s="202">
        <v>250</v>
      </c>
      <c r="N82" s="202">
        <v>1056</v>
      </c>
      <c r="O82" s="202">
        <v>1467</v>
      </c>
      <c r="P82" s="202"/>
      <c r="Q82" s="202">
        <v>2097</v>
      </c>
      <c r="R82" s="202"/>
      <c r="S82" s="202"/>
      <c r="T82" s="202"/>
      <c r="U82" s="202">
        <v>5265</v>
      </c>
      <c r="V82" s="202">
        <v>500</v>
      </c>
      <c r="W82" s="202">
        <v>880</v>
      </c>
      <c r="X82" s="202"/>
      <c r="Y82" s="202"/>
      <c r="Z82" s="202">
        <v>4401</v>
      </c>
      <c r="AA82" s="202"/>
      <c r="AB82" s="202">
        <v>1482</v>
      </c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>
        <v>77848</v>
      </c>
      <c r="AN82" s="202"/>
      <c r="AO82" s="202"/>
      <c r="AP82" s="202"/>
      <c r="AQ82" s="202"/>
      <c r="AR82" s="202"/>
      <c r="AS82" s="202">
        <v>43650</v>
      </c>
      <c r="AT82" s="202"/>
      <c r="AU82" s="202"/>
      <c r="AV82" s="202"/>
      <c r="AW82" s="202">
        <v>2000</v>
      </c>
      <c r="AX82" s="202"/>
      <c r="AY82" s="202">
        <v>1708</v>
      </c>
      <c r="AZ82" s="202"/>
      <c r="BA82" s="202"/>
      <c r="BB82" s="202"/>
    </row>
    <row r="83" spans="1:54" s="169" customFormat="1" ht="15.75">
      <c r="A83" s="13">
        <v>4900</v>
      </c>
      <c r="B83" s="355" t="s">
        <v>65</v>
      </c>
      <c r="C83" s="355"/>
      <c r="D83" s="186"/>
      <c r="E83" s="112">
        <f>SUBTOTAL(9,E84:E84)</f>
        <v>0</v>
      </c>
      <c r="F83" s="112">
        <f>SUBTOTAL(9,F84:F84)</f>
        <v>0</v>
      </c>
      <c r="G83" s="112">
        <f>SUBTOTAL(9,G84:G84)</f>
        <v>0</v>
      </c>
      <c r="H83" s="112">
        <f t="shared" ref="H83:BB83" si="35">SUBTOTAL(9,H84:H84)</f>
        <v>0</v>
      </c>
      <c r="I83" s="112">
        <f t="shared" si="35"/>
        <v>0</v>
      </c>
      <c r="J83" s="112">
        <f t="shared" si="35"/>
        <v>0</v>
      </c>
      <c r="K83" s="112">
        <f t="shared" si="35"/>
        <v>0</v>
      </c>
      <c r="L83" s="112">
        <f t="shared" si="35"/>
        <v>0</v>
      </c>
      <c r="M83" s="112">
        <f t="shared" si="35"/>
        <v>0</v>
      </c>
      <c r="N83" s="112">
        <f t="shared" si="35"/>
        <v>0</v>
      </c>
      <c r="O83" s="112">
        <f t="shared" si="35"/>
        <v>0</v>
      </c>
      <c r="P83" s="112">
        <f t="shared" si="35"/>
        <v>0</v>
      </c>
      <c r="Q83" s="112">
        <f t="shared" si="35"/>
        <v>0</v>
      </c>
      <c r="R83" s="112">
        <f t="shared" si="35"/>
        <v>0</v>
      </c>
      <c r="S83" s="112">
        <f t="shared" si="35"/>
        <v>0</v>
      </c>
      <c r="T83" s="112">
        <f t="shared" si="35"/>
        <v>0</v>
      </c>
      <c r="U83" s="112">
        <f t="shared" si="35"/>
        <v>0</v>
      </c>
      <c r="V83" s="112">
        <f t="shared" si="35"/>
        <v>0</v>
      </c>
      <c r="W83" s="112">
        <f t="shared" si="35"/>
        <v>0</v>
      </c>
      <c r="X83" s="112">
        <f t="shared" si="35"/>
        <v>0</v>
      </c>
      <c r="Y83" s="112">
        <f t="shared" si="35"/>
        <v>0</v>
      </c>
      <c r="Z83" s="112">
        <f t="shared" si="35"/>
        <v>0</v>
      </c>
      <c r="AA83" s="112">
        <f t="shared" si="35"/>
        <v>0</v>
      </c>
      <c r="AB83" s="112">
        <f t="shared" si="35"/>
        <v>0</v>
      </c>
      <c r="AC83" s="112">
        <f t="shared" si="35"/>
        <v>0</v>
      </c>
      <c r="AD83" s="112">
        <f t="shared" si="35"/>
        <v>0</v>
      </c>
      <c r="AE83" s="112">
        <f t="shared" si="35"/>
        <v>0</v>
      </c>
      <c r="AF83" s="112">
        <f t="shared" si="35"/>
        <v>0</v>
      </c>
      <c r="AG83" s="112">
        <f t="shared" si="35"/>
        <v>0</v>
      </c>
      <c r="AH83" s="112">
        <f t="shared" si="35"/>
        <v>0</v>
      </c>
      <c r="AI83" s="112">
        <f t="shared" si="35"/>
        <v>0</v>
      </c>
      <c r="AJ83" s="112">
        <f t="shared" si="35"/>
        <v>0</v>
      </c>
      <c r="AK83" s="112">
        <f t="shared" si="35"/>
        <v>0</v>
      </c>
      <c r="AL83" s="112">
        <f t="shared" si="35"/>
        <v>0</v>
      </c>
      <c r="AM83" s="112">
        <f t="shared" si="35"/>
        <v>0</v>
      </c>
      <c r="AN83" s="112">
        <f t="shared" si="35"/>
        <v>0</v>
      </c>
      <c r="AO83" s="112">
        <f t="shared" si="35"/>
        <v>0</v>
      </c>
      <c r="AP83" s="112">
        <f t="shared" si="35"/>
        <v>0</v>
      </c>
      <c r="AQ83" s="112">
        <f t="shared" si="35"/>
        <v>0</v>
      </c>
      <c r="AR83" s="112">
        <f t="shared" si="35"/>
        <v>0</v>
      </c>
      <c r="AS83" s="112">
        <f t="shared" si="35"/>
        <v>0</v>
      </c>
      <c r="AT83" s="112">
        <f t="shared" si="35"/>
        <v>0</v>
      </c>
      <c r="AU83" s="112">
        <f t="shared" si="35"/>
        <v>0</v>
      </c>
      <c r="AV83" s="112">
        <f t="shared" si="35"/>
        <v>0</v>
      </c>
      <c r="AW83" s="112">
        <f t="shared" si="35"/>
        <v>0</v>
      </c>
      <c r="AX83" s="112">
        <f t="shared" si="35"/>
        <v>0</v>
      </c>
      <c r="AY83" s="112">
        <f t="shared" si="35"/>
        <v>0</v>
      </c>
      <c r="AZ83" s="112">
        <f t="shared" si="35"/>
        <v>0</v>
      </c>
      <c r="BA83" s="112">
        <f t="shared" si="35"/>
        <v>0</v>
      </c>
      <c r="BB83" s="112">
        <f t="shared" si="35"/>
        <v>0</v>
      </c>
    </row>
    <row r="84" spans="1:54" s="169" customFormat="1" ht="15.75">
      <c r="A84" s="203"/>
      <c r="B84" s="204">
        <v>4901</v>
      </c>
      <c r="C84" s="19" t="s">
        <v>219</v>
      </c>
      <c r="D84" s="186"/>
      <c r="E84" s="202"/>
      <c r="F84" s="202">
        <f>E84-G84</f>
        <v>0</v>
      </c>
      <c r="G84" s="202">
        <f>SUM(H84:BB84)</f>
        <v>0</v>
      </c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</row>
    <row r="85" spans="1:54" s="169" customFormat="1" ht="15.75">
      <c r="A85" s="13">
        <v>5100</v>
      </c>
      <c r="B85" s="355" t="s">
        <v>43</v>
      </c>
      <c r="C85" s="355"/>
      <c r="D85" s="187"/>
      <c r="E85" s="202">
        <v>887000</v>
      </c>
      <c r="F85" s="202">
        <f>E85-G85</f>
        <v>0</v>
      </c>
      <c r="G85" s="202">
        <f>SUM(H85:BB85)</f>
        <v>887000</v>
      </c>
      <c r="H85" s="202">
        <v>20000</v>
      </c>
      <c r="I85" s="202">
        <v>50000</v>
      </c>
      <c r="J85" s="202">
        <v>40000</v>
      </c>
      <c r="K85" s="202">
        <v>30000</v>
      </c>
      <c r="L85" s="202">
        <v>70000</v>
      </c>
      <c r="M85" s="202">
        <v>50000</v>
      </c>
      <c r="N85" s="202">
        <v>40000</v>
      </c>
      <c r="O85" s="202">
        <v>30000</v>
      </c>
      <c r="P85" s="202">
        <v>30000</v>
      </c>
      <c r="Q85" s="202">
        <v>70000</v>
      </c>
      <c r="R85" s="202">
        <v>20000</v>
      </c>
      <c r="S85" s="202">
        <v>20000</v>
      </c>
      <c r="T85" s="202">
        <v>30000</v>
      </c>
      <c r="U85" s="202">
        <v>60000</v>
      </c>
      <c r="V85" s="202">
        <v>80000</v>
      </c>
      <c r="W85" s="202">
        <v>32000</v>
      </c>
      <c r="X85" s="202"/>
      <c r="Y85" s="202">
        <v>50000</v>
      </c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>
        <v>65000</v>
      </c>
      <c r="AT85" s="202"/>
      <c r="AU85" s="202"/>
      <c r="AV85" s="202">
        <v>100000</v>
      </c>
      <c r="AW85" s="202"/>
      <c r="AX85" s="202"/>
      <c r="AY85" s="202"/>
      <c r="AZ85" s="202"/>
      <c r="BA85" s="202"/>
      <c r="BB85" s="202"/>
    </row>
    <row r="86" spans="1:54" ht="15.75">
      <c r="A86" s="13">
        <v>5200</v>
      </c>
      <c r="B86" s="355" t="s">
        <v>44</v>
      </c>
      <c r="C86" s="355"/>
      <c r="D86" s="161"/>
      <c r="E86" s="112">
        <f t="shared" ref="E86:AX86" si="36">SUBTOTAL(9,E87:E91)</f>
        <v>2625200</v>
      </c>
      <c r="F86" s="112">
        <f>SUBTOTAL(9,F87:F91)</f>
        <v>0</v>
      </c>
      <c r="G86" s="112">
        <f t="shared" si="36"/>
        <v>2625200</v>
      </c>
      <c r="H86" s="112">
        <f t="shared" si="36"/>
        <v>10000</v>
      </c>
      <c r="I86" s="112">
        <f t="shared" si="36"/>
        <v>50000</v>
      </c>
      <c r="J86" s="112">
        <f t="shared" si="36"/>
        <v>60000</v>
      </c>
      <c r="K86" s="112">
        <f t="shared" si="36"/>
        <v>10000</v>
      </c>
      <c r="L86" s="112">
        <f t="shared" si="36"/>
        <v>10000</v>
      </c>
      <c r="M86" s="112">
        <f t="shared" si="36"/>
        <v>41000</v>
      </c>
      <c r="N86" s="112">
        <f t="shared" si="36"/>
        <v>20000</v>
      </c>
      <c r="O86" s="112">
        <f t="shared" si="36"/>
        <v>10000</v>
      </c>
      <c r="P86" s="112">
        <f t="shared" si="36"/>
        <v>10000</v>
      </c>
      <c r="Q86" s="112">
        <f t="shared" si="36"/>
        <v>50000</v>
      </c>
      <c r="R86" s="112">
        <f t="shared" si="36"/>
        <v>60000</v>
      </c>
      <c r="S86" s="112">
        <f t="shared" si="36"/>
        <v>26000</v>
      </c>
      <c r="T86" s="112">
        <f t="shared" si="36"/>
        <v>10000</v>
      </c>
      <c r="U86" s="112">
        <f t="shared" si="36"/>
        <v>30000</v>
      </c>
      <c r="V86" s="112">
        <f t="shared" si="36"/>
        <v>10000</v>
      </c>
      <c r="W86" s="112">
        <f t="shared" si="36"/>
        <v>30000</v>
      </c>
      <c r="X86" s="112">
        <f t="shared" si="36"/>
        <v>0</v>
      </c>
      <c r="Y86" s="112">
        <f t="shared" si="36"/>
        <v>12000</v>
      </c>
      <c r="Z86" s="112">
        <f t="shared" si="36"/>
        <v>0</v>
      </c>
      <c r="AA86" s="112">
        <f t="shared" si="36"/>
        <v>0</v>
      </c>
      <c r="AB86" s="112">
        <f t="shared" si="36"/>
        <v>139200</v>
      </c>
      <c r="AC86" s="112">
        <f t="shared" si="36"/>
        <v>5000</v>
      </c>
      <c r="AD86" s="112">
        <f t="shared" si="36"/>
        <v>0</v>
      </c>
      <c r="AE86" s="112">
        <f t="shared" si="36"/>
        <v>0</v>
      </c>
      <c r="AF86" s="112">
        <f t="shared" si="36"/>
        <v>0</v>
      </c>
      <c r="AG86" s="112">
        <f t="shared" si="36"/>
        <v>0</v>
      </c>
      <c r="AH86" s="112">
        <f t="shared" si="36"/>
        <v>0</v>
      </c>
      <c r="AI86" s="112">
        <f t="shared" si="36"/>
        <v>10000</v>
      </c>
      <c r="AJ86" s="112">
        <f t="shared" si="36"/>
        <v>100000</v>
      </c>
      <c r="AK86" s="112">
        <f t="shared" si="36"/>
        <v>0</v>
      </c>
      <c r="AL86" s="112">
        <f t="shared" si="36"/>
        <v>5000</v>
      </c>
      <c r="AM86" s="112">
        <f t="shared" si="36"/>
        <v>0</v>
      </c>
      <c r="AN86" s="112">
        <f t="shared" si="36"/>
        <v>0</v>
      </c>
      <c r="AO86" s="112">
        <f t="shared" si="36"/>
        <v>0</v>
      </c>
      <c r="AP86" s="112">
        <f t="shared" si="36"/>
        <v>0</v>
      </c>
      <c r="AQ86" s="112">
        <f t="shared" si="36"/>
        <v>0</v>
      </c>
      <c r="AR86" s="112">
        <f t="shared" si="36"/>
        <v>0</v>
      </c>
      <c r="AS86" s="112">
        <f t="shared" si="36"/>
        <v>730000</v>
      </c>
      <c r="AT86" s="112">
        <f t="shared" si="36"/>
        <v>0</v>
      </c>
      <c r="AU86" s="112">
        <f t="shared" si="36"/>
        <v>72000</v>
      </c>
      <c r="AV86" s="112">
        <f t="shared" si="36"/>
        <v>10000</v>
      </c>
      <c r="AW86" s="112">
        <f t="shared" si="36"/>
        <v>12000</v>
      </c>
      <c r="AX86" s="112">
        <f t="shared" si="36"/>
        <v>123000</v>
      </c>
      <c r="AY86" s="112">
        <f>SUBTOTAL(9,AY87:AY91)</f>
        <v>970000</v>
      </c>
      <c r="AZ86" s="112">
        <f>SUBTOTAL(9,AZ87:AZ91)</f>
        <v>0</v>
      </c>
      <c r="BA86" s="112">
        <f>SUBTOTAL(9,BA87:BA91)</f>
        <v>0</v>
      </c>
      <c r="BB86" s="112">
        <f>SUBTOTAL(9,BB87:BB91)</f>
        <v>0</v>
      </c>
    </row>
    <row r="87" spans="1:54" ht="15.75">
      <c r="A87" s="18"/>
      <c r="B87" s="11">
        <v>5201</v>
      </c>
      <c r="C87" s="15" t="s">
        <v>89</v>
      </c>
      <c r="D87" s="68"/>
      <c r="E87" s="155">
        <v>897050</v>
      </c>
      <c r="F87" s="155">
        <f>E87-G87</f>
        <v>0</v>
      </c>
      <c r="G87" s="113">
        <f>SUM(H87:BB87)</f>
        <v>897050</v>
      </c>
      <c r="H87" s="113">
        <v>10000</v>
      </c>
      <c r="I87" s="113">
        <v>10000</v>
      </c>
      <c r="J87" s="113">
        <v>60000</v>
      </c>
      <c r="K87" s="113">
        <v>10000</v>
      </c>
      <c r="L87" s="113">
        <v>10000</v>
      </c>
      <c r="M87" s="113">
        <v>30000</v>
      </c>
      <c r="N87" s="113">
        <v>20000</v>
      </c>
      <c r="O87" s="113">
        <v>10000</v>
      </c>
      <c r="P87" s="113">
        <v>10000</v>
      </c>
      <c r="Q87" s="113">
        <v>50000</v>
      </c>
      <c r="R87" s="113">
        <v>30000</v>
      </c>
      <c r="S87" s="113">
        <v>10000</v>
      </c>
      <c r="T87" s="113">
        <v>10000</v>
      </c>
      <c r="U87" s="113">
        <v>30000</v>
      </c>
      <c r="V87" s="113">
        <v>10000</v>
      </c>
      <c r="W87" s="113">
        <v>10000</v>
      </c>
      <c r="X87" s="113"/>
      <c r="Y87" s="113">
        <v>12000</v>
      </c>
      <c r="Z87" s="113"/>
      <c r="AA87" s="113"/>
      <c r="AB87" s="113"/>
      <c r="AC87" s="113">
        <v>2400</v>
      </c>
      <c r="AD87" s="113"/>
      <c r="AE87" s="113"/>
      <c r="AF87" s="113"/>
      <c r="AG87" s="113"/>
      <c r="AH87" s="113"/>
      <c r="AI87" s="113">
        <v>10000</v>
      </c>
      <c r="AJ87" s="113">
        <v>50000</v>
      </c>
      <c r="AK87" s="113"/>
      <c r="AL87" s="113">
        <v>5000</v>
      </c>
      <c r="AM87" s="113"/>
      <c r="AN87" s="113"/>
      <c r="AO87" s="113"/>
      <c r="AP87" s="113"/>
      <c r="AQ87" s="113"/>
      <c r="AR87" s="113"/>
      <c r="AS87" s="113"/>
      <c r="AT87" s="113"/>
      <c r="AU87" s="113"/>
      <c r="AV87" s="113">
        <v>5000</v>
      </c>
      <c r="AW87" s="113">
        <v>3000</v>
      </c>
      <c r="AX87" s="113">
        <f>100000-10350</f>
        <v>89650</v>
      </c>
      <c r="AY87" s="113">
        <v>400000</v>
      </c>
      <c r="AZ87" s="113"/>
      <c r="BA87" s="113"/>
      <c r="BB87" s="113"/>
    </row>
    <row r="88" spans="1:54" ht="15.75">
      <c r="A88" s="18"/>
      <c r="B88" s="11">
        <v>5203</v>
      </c>
      <c r="C88" s="15" t="s">
        <v>90</v>
      </c>
      <c r="D88" s="68"/>
      <c r="E88" s="155">
        <v>1026350</v>
      </c>
      <c r="F88" s="155">
        <f>E88-G88</f>
        <v>0</v>
      </c>
      <c r="G88" s="113">
        <f>SUM(H88:BB88)</f>
        <v>1026350</v>
      </c>
      <c r="H88" s="113"/>
      <c r="I88" s="113">
        <v>40000</v>
      </c>
      <c r="J88" s="113"/>
      <c r="K88" s="113"/>
      <c r="L88" s="113"/>
      <c r="M88" s="113">
        <v>11000</v>
      </c>
      <c r="N88" s="113"/>
      <c r="O88" s="113"/>
      <c r="P88" s="113"/>
      <c r="Q88" s="113"/>
      <c r="R88" s="113">
        <v>30000</v>
      </c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>
        <v>50000</v>
      </c>
      <c r="AK88" s="113"/>
      <c r="AL88" s="113"/>
      <c r="AM88" s="113"/>
      <c r="AN88" s="113"/>
      <c r="AO88" s="113"/>
      <c r="AP88" s="113"/>
      <c r="AQ88" s="113"/>
      <c r="AR88" s="113"/>
      <c r="AS88" s="113">
        <f>130000+50000+35000+20000</f>
        <v>235000</v>
      </c>
      <c r="AT88" s="113"/>
      <c r="AU88" s="113">
        <f>60000*1.2</f>
        <v>72000</v>
      </c>
      <c r="AV88" s="113"/>
      <c r="AW88" s="113">
        <v>5000</v>
      </c>
      <c r="AX88" s="113">
        <f>32969+381</f>
        <v>33350</v>
      </c>
      <c r="AY88" s="113">
        <v>550000</v>
      </c>
      <c r="AZ88" s="113"/>
      <c r="BA88" s="113"/>
      <c r="BB88" s="113"/>
    </row>
    <row r="89" spans="1:54" ht="15.75">
      <c r="A89" s="18"/>
      <c r="B89" s="11">
        <v>5204</v>
      </c>
      <c r="C89" s="15" t="s">
        <v>91</v>
      </c>
      <c r="D89" s="68"/>
      <c r="E89" s="155">
        <v>90000</v>
      </c>
      <c r="F89" s="155">
        <f>E89-G89</f>
        <v>0</v>
      </c>
      <c r="G89" s="113">
        <f>SUM(H89:BB89)</f>
        <v>90000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>
        <v>90000</v>
      </c>
      <c r="AT89" s="113"/>
      <c r="AU89" s="113"/>
      <c r="AV89" s="113"/>
      <c r="AW89" s="113"/>
      <c r="AX89" s="113"/>
      <c r="AY89" s="113"/>
      <c r="AZ89" s="113"/>
      <c r="BA89" s="113"/>
      <c r="BB89" s="113"/>
    </row>
    <row r="90" spans="1:54" ht="15.75">
      <c r="A90" s="18"/>
      <c r="B90" s="11">
        <v>5205</v>
      </c>
      <c r="C90" s="15" t="s">
        <v>92</v>
      </c>
      <c r="D90" s="68"/>
      <c r="E90" s="155">
        <v>211800</v>
      </c>
      <c r="F90" s="155">
        <f>E90-G90</f>
        <v>0</v>
      </c>
      <c r="G90" s="113">
        <f>SUM(H90:BB90)</f>
        <v>211800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>
        <v>16000</v>
      </c>
      <c r="T90" s="113"/>
      <c r="U90" s="113"/>
      <c r="V90" s="113"/>
      <c r="W90" s="113">
        <v>20000</v>
      </c>
      <c r="X90" s="113"/>
      <c r="Y90" s="113"/>
      <c r="Z90" s="113"/>
      <c r="AA90" s="113"/>
      <c r="AB90" s="113">
        <f>116000*1.2</f>
        <v>139200</v>
      </c>
      <c r="AC90" s="113">
        <v>2600</v>
      </c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>
        <v>5000</v>
      </c>
      <c r="AT90" s="113"/>
      <c r="AU90" s="113"/>
      <c r="AV90" s="113">
        <v>5000</v>
      </c>
      <c r="AW90" s="113">
        <v>4000</v>
      </c>
      <c r="AX90" s="113"/>
      <c r="AY90" s="113">
        <v>20000</v>
      </c>
      <c r="AZ90" s="113"/>
      <c r="BA90" s="113"/>
      <c r="BB90" s="113"/>
    </row>
    <row r="91" spans="1:54" ht="15.75">
      <c r="A91" s="18"/>
      <c r="B91" s="11">
        <v>5206</v>
      </c>
      <c r="C91" s="15" t="s">
        <v>93</v>
      </c>
      <c r="D91" s="68"/>
      <c r="E91" s="155">
        <v>400000</v>
      </c>
      <c r="F91" s="155">
        <f>E91-G91</f>
        <v>0</v>
      </c>
      <c r="G91" s="113">
        <f>SUM(H91:BB91)</f>
        <v>400000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>
        <v>400000</v>
      </c>
      <c r="AT91" s="113"/>
      <c r="AU91" s="113"/>
      <c r="AV91" s="113"/>
      <c r="AW91" s="113"/>
      <c r="AX91" s="113"/>
      <c r="AY91" s="113"/>
      <c r="AZ91" s="113"/>
      <c r="BA91" s="113"/>
      <c r="BB91" s="113"/>
    </row>
    <row r="92" spans="1:54" ht="15.75">
      <c r="A92" s="13">
        <v>5300</v>
      </c>
      <c r="B92" s="355" t="s">
        <v>45</v>
      </c>
      <c r="C92" s="355"/>
      <c r="D92" s="161"/>
      <c r="E92" s="112">
        <f>SUBTOTAL(9,E93:E93)</f>
        <v>147000</v>
      </c>
      <c r="F92" s="112">
        <f>SUBTOTAL(9,F93:F93)</f>
        <v>0</v>
      </c>
      <c r="G92" s="112">
        <f t="shared" ref="G92:AX92" si="37">SUBTOTAL(9,G93:G93)</f>
        <v>147000</v>
      </c>
      <c r="H92" s="112">
        <f t="shared" si="37"/>
        <v>0</v>
      </c>
      <c r="I92" s="112">
        <f t="shared" si="37"/>
        <v>0</v>
      </c>
      <c r="J92" s="112">
        <f t="shared" si="37"/>
        <v>5000</v>
      </c>
      <c r="K92" s="112">
        <f t="shared" si="37"/>
        <v>6000</v>
      </c>
      <c r="L92" s="112">
        <f t="shared" si="37"/>
        <v>0</v>
      </c>
      <c r="M92" s="112">
        <f t="shared" si="37"/>
        <v>10000</v>
      </c>
      <c r="N92" s="112">
        <f t="shared" si="37"/>
        <v>10000</v>
      </c>
      <c r="O92" s="112">
        <f t="shared" si="37"/>
        <v>0</v>
      </c>
      <c r="P92" s="112">
        <f t="shared" si="37"/>
        <v>10000</v>
      </c>
      <c r="Q92" s="112">
        <f t="shared" si="37"/>
        <v>15000</v>
      </c>
      <c r="R92" s="112">
        <f t="shared" si="37"/>
        <v>0</v>
      </c>
      <c r="S92" s="112">
        <f t="shared" si="37"/>
        <v>0</v>
      </c>
      <c r="T92" s="112">
        <f t="shared" si="37"/>
        <v>0</v>
      </c>
      <c r="U92" s="112">
        <f t="shared" si="37"/>
        <v>0</v>
      </c>
      <c r="V92" s="112">
        <f t="shared" si="37"/>
        <v>5000</v>
      </c>
      <c r="W92" s="112">
        <f t="shared" si="37"/>
        <v>5000</v>
      </c>
      <c r="X92" s="112">
        <f t="shared" si="37"/>
        <v>0</v>
      </c>
      <c r="Y92" s="112">
        <f t="shared" si="37"/>
        <v>0</v>
      </c>
      <c r="Z92" s="112">
        <f t="shared" si="37"/>
        <v>0</v>
      </c>
      <c r="AA92" s="112">
        <f t="shared" si="37"/>
        <v>0</v>
      </c>
      <c r="AB92" s="112">
        <f t="shared" si="37"/>
        <v>0</v>
      </c>
      <c r="AC92" s="112">
        <f t="shared" si="37"/>
        <v>0</v>
      </c>
      <c r="AD92" s="112">
        <f t="shared" si="37"/>
        <v>0</v>
      </c>
      <c r="AE92" s="112">
        <f t="shared" si="37"/>
        <v>0</v>
      </c>
      <c r="AF92" s="112">
        <f t="shared" si="37"/>
        <v>0</v>
      </c>
      <c r="AG92" s="112">
        <f t="shared" si="37"/>
        <v>0</v>
      </c>
      <c r="AH92" s="112">
        <f t="shared" si="37"/>
        <v>0</v>
      </c>
      <c r="AI92" s="112">
        <f t="shared" si="37"/>
        <v>0</v>
      </c>
      <c r="AJ92" s="112">
        <f t="shared" si="37"/>
        <v>0</v>
      </c>
      <c r="AK92" s="112">
        <f t="shared" si="37"/>
        <v>0</v>
      </c>
      <c r="AL92" s="112">
        <f t="shared" si="37"/>
        <v>0</v>
      </c>
      <c r="AM92" s="112">
        <f t="shared" si="37"/>
        <v>50000</v>
      </c>
      <c r="AN92" s="112">
        <f t="shared" si="37"/>
        <v>0</v>
      </c>
      <c r="AO92" s="112">
        <f t="shared" si="37"/>
        <v>0</v>
      </c>
      <c r="AP92" s="112">
        <f t="shared" si="37"/>
        <v>0</v>
      </c>
      <c r="AQ92" s="112">
        <f t="shared" si="37"/>
        <v>0</v>
      </c>
      <c r="AR92" s="112">
        <f t="shared" si="37"/>
        <v>0</v>
      </c>
      <c r="AS92" s="112">
        <f t="shared" si="37"/>
        <v>0</v>
      </c>
      <c r="AT92" s="112">
        <f t="shared" si="37"/>
        <v>0</v>
      </c>
      <c r="AU92" s="112">
        <f t="shared" si="37"/>
        <v>0</v>
      </c>
      <c r="AV92" s="112">
        <f t="shared" si="37"/>
        <v>1000</v>
      </c>
      <c r="AW92" s="112">
        <f t="shared" si="37"/>
        <v>0</v>
      </c>
      <c r="AX92" s="112">
        <f t="shared" si="37"/>
        <v>0</v>
      </c>
      <c r="AY92" s="112">
        <f>SUBTOTAL(9,AY93:AY93)</f>
        <v>30000</v>
      </c>
      <c r="AZ92" s="112">
        <f>SUBTOTAL(9,AZ93:AZ93)</f>
        <v>0</v>
      </c>
      <c r="BA92" s="112">
        <f>SUBTOTAL(9,BA93:BA93)</f>
        <v>0</v>
      </c>
      <c r="BB92" s="112">
        <f>SUBTOTAL(9,BB93:BB93)</f>
        <v>0</v>
      </c>
    </row>
    <row r="93" spans="1:54" ht="32.25" thickBot="1">
      <c r="A93" s="40"/>
      <c r="B93" s="41">
        <v>5301</v>
      </c>
      <c r="C93" s="42" t="s">
        <v>46</v>
      </c>
      <c r="D93" s="69"/>
      <c r="E93" s="156">
        <v>147000</v>
      </c>
      <c r="F93" s="155">
        <f>E93-G93</f>
        <v>0</v>
      </c>
      <c r="G93" s="114">
        <f>SUM(H93:BB93)</f>
        <v>147000</v>
      </c>
      <c r="H93" s="114"/>
      <c r="I93" s="114"/>
      <c r="J93" s="114">
        <v>5000</v>
      </c>
      <c r="K93" s="114">
        <v>6000</v>
      </c>
      <c r="L93" s="114"/>
      <c r="M93" s="114">
        <v>10000</v>
      </c>
      <c r="N93" s="114">
        <v>10000</v>
      </c>
      <c r="O93" s="114"/>
      <c r="P93" s="114">
        <v>10000</v>
      </c>
      <c r="Q93" s="114">
        <v>15000</v>
      </c>
      <c r="R93" s="114"/>
      <c r="S93" s="114"/>
      <c r="T93" s="114"/>
      <c r="U93" s="114"/>
      <c r="V93" s="114">
        <v>5000</v>
      </c>
      <c r="W93" s="114">
        <v>5000</v>
      </c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>
        <v>50000</v>
      </c>
      <c r="AN93" s="114"/>
      <c r="AO93" s="114"/>
      <c r="AP93" s="114"/>
      <c r="AQ93" s="114"/>
      <c r="AR93" s="114"/>
      <c r="AS93" s="114"/>
      <c r="AT93" s="114"/>
      <c r="AU93" s="114"/>
      <c r="AV93" s="114">
        <v>1000</v>
      </c>
      <c r="AW93" s="114"/>
      <c r="AX93" s="114"/>
      <c r="AY93" s="114">
        <v>30000</v>
      </c>
      <c r="AZ93" s="114"/>
      <c r="BA93" s="114"/>
      <c r="BB93" s="114"/>
    </row>
    <row r="94" spans="1:54" s="66" customFormat="1" ht="21.75" thickBot="1">
      <c r="A94" s="70" t="s">
        <v>94</v>
      </c>
      <c r="B94" s="71"/>
      <c r="C94" s="72"/>
      <c r="D94" s="73"/>
      <c r="E94" s="117">
        <f t="shared" ref="E94:AJ94" si="38">SUBTOTAL(9,E96:E137)</f>
        <v>82876500</v>
      </c>
      <c r="F94" s="117">
        <f t="shared" si="38"/>
        <v>-4.1499997489154339E-2</v>
      </c>
      <c r="G94" s="117">
        <f t="shared" si="38"/>
        <v>82876500.041500002</v>
      </c>
      <c r="H94" s="117">
        <f t="shared" si="38"/>
        <v>764823.62174998154</v>
      </c>
      <c r="I94" s="117">
        <f t="shared" si="38"/>
        <v>4812022.7460221043</v>
      </c>
      <c r="J94" s="117">
        <f t="shared" si="38"/>
        <v>2478195.7992721507</v>
      </c>
      <c r="K94" s="117">
        <f t="shared" si="38"/>
        <v>2282717.6296431953</v>
      </c>
      <c r="L94" s="117">
        <f t="shared" si="38"/>
        <v>3280141.2337237932</v>
      </c>
      <c r="M94" s="117">
        <f t="shared" si="38"/>
        <v>1568505.5057895719</v>
      </c>
      <c r="N94" s="117">
        <f t="shared" si="38"/>
        <v>1808349.4119359986</v>
      </c>
      <c r="O94" s="117">
        <f t="shared" si="38"/>
        <v>3475476.1583023528</v>
      </c>
      <c r="P94" s="117">
        <f t="shared" si="38"/>
        <v>6373041.7630142923</v>
      </c>
      <c r="Q94" s="117">
        <f t="shared" si="38"/>
        <v>13558971.249442676</v>
      </c>
      <c r="R94" s="117">
        <f t="shared" si="38"/>
        <v>3778761.8849447635</v>
      </c>
      <c r="S94" s="117">
        <f t="shared" si="38"/>
        <v>1376907.2890387527</v>
      </c>
      <c r="T94" s="117">
        <f t="shared" si="38"/>
        <v>3973591.0406755237</v>
      </c>
      <c r="U94" s="117">
        <f t="shared" si="38"/>
        <v>5685750.0470331227</v>
      </c>
      <c r="V94" s="117">
        <f t="shared" si="38"/>
        <v>4938703.4214450493</v>
      </c>
      <c r="W94" s="117">
        <f t="shared" si="38"/>
        <v>4726098.5081441738</v>
      </c>
      <c r="X94" s="117">
        <f t="shared" si="38"/>
        <v>179208</v>
      </c>
      <c r="Y94" s="117">
        <f t="shared" si="38"/>
        <v>204477.76442148862</v>
      </c>
      <c r="Z94" s="117">
        <f t="shared" si="38"/>
        <v>200953.64985671622</v>
      </c>
      <c r="AA94" s="117">
        <f t="shared" si="38"/>
        <v>121511.31704428693</v>
      </c>
      <c r="AB94" s="117">
        <f t="shared" si="38"/>
        <v>0</v>
      </c>
      <c r="AC94" s="117">
        <f t="shared" si="38"/>
        <v>0</v>
      </c>
      <c r="AD94" s="117">
        <f t="shared" si="38"/>
        <v>0</v>
      </c>
      <c r="AE94" s="117">
        <f t="shared" si="38"/>
        <v>0</v>
      </c>
      <c r="AF94" s="117">
        <f t="shared" si="38"/>
        <v>0</v>
      </c>
      <c r="AG94" s="117">
        <f t="shared" si="38"/>
        <v>0</v>
      </c>
      <c r="AH94" s="117">
        <f t="shared" si="38"/>
        <v>0</v>
      </c>
      <c r="AI94" s="117">
        <f t="shared" si="38"/>
        <v>152871</v>
      </c>
      <c r="AJ94" s="117">
        <f t="shared" si="38"/>
        <v>47963</v>
      </c>
      <c r="AK94" s="117">
        <f t="shared" ref="AK94:BB94" si="39">SUBTOTAL(9,AK96:AK137)</f>
        <v>0</v>
      </c>
      <c r="AL94" s="117">
        <f t="shared" si="39"/>
        <v>0</v>
      </c>
      <c r="AM94" s="117">
        <f t="shared" si="39"/>
        <v>10422083</v>
      </c>
      <c r="AN94" s="117">
        <f t="shared" si="39"/>
        <v>0</v>
      </c>
      <c r="AO94" s="117">
        <f t="shared" si="39"/>
        <v>0</v>
      </c>
      <c r="AP94" s="117">
        <f t="shared" si="39"/>
        <v>0</v>
      </c>
      <c r="AQ94" s="117">
        <f t="shared" si="39"/>
        <v>0</v>
      </c>
      <c r="AR94" s="117">
        <f t="shared" si="39"/>
        <v>0</v>
      </c>
      <c r="AS94" s="117">
        <f t="shared" si="39"/>
        <v>-300000</v>
      </c>
      <c r="AT94" s="117">
        <f t="shared" si="39"/>
        <v>0</v>
      </c>
      <c r="AU94" s="117">
        <f t="shared" si="39"/>
        <v>980983</v>
      </c>
      <c r="AV94" s="117">
        <f t="shared" si="39"/>
        <v>2646921</v>
      </c>
      <c r="AW94" s="117">
        <f t="shared" si="39"/>
        <v>0</v>
      </c>
      <c r="AX94" s="117">
        <f t="shared" si="39"/>
        <v>884843</v>
      </c>
      <c r="AY94" s="117">
        <f t="shared" si="39"/>
        <v>-1500000</v>
      </c>
      <c r="AZ94" s="117">
        <f t="shared" si="39"/>
        <v>355100</v>
      </c>
      <c r="BA94" s="117">
        <f t="shared" si="39"/>
        <v>0</v>
      </c>
      <c r="BB94" s="116">
        <f t="shared" si="39"/>
        <v>3597528</v>
      </c>
    </row>
    <row r="95" spans="1:54" ht="15.75">
      <c r="A95" s="74">
        <v>3200</v>
      </c>
      <c r="B95" s="356" t="s">
        <v>47</v>
      </c>
      <c r="C95" s="357"/>
      <c r="D95" s="75"/>
      <c r="E95" s="115">
        <f t="shared" ref="E95:AJ95" si="40">SUBTOTAL(9,E98:E131)</f>
        <v>85496500</v>
      </c>
      <c r="F95" s="115">
        <f t="shared" si="40"/>
        <v>-4.1499997714709025E-2</v>
      </c>
      <c r="G95" s="115">
        <f t="shared" si="40"/>
        <v>85496500.041500002</v>
      </c>
      <c r="H95" s="115">
        <f t="shared" si="40"/>
        <v>764823.62174998154</v>
      </c>
      <c r="I95" s="115">
        <f t="shared" si="40"/>
        <v>4812022.7460221043</v>
      </c>
      <c r="J95" s="115">
        <f t="shared" si="40"/>
        <v>2478195.7992721507</v>
      </c>
      <c r="K95" s="115">
        <f t="shared" si="40"/>
        <v>2282717.6296431953</v>
      </c>
      <c r="L95" s="115">
        <f t="shared" si="40"/>
        <v>5440141.2337237932</v>
      </c>
      <c r="M95" s="115">
        <f t="shared" si="40"/>
        <v>1568505.5057895719</v>
      </c>
      <c r="N95" s="115">
        <f t="shared" si="40"/>
        <v>1808349.4119359986</v>
      </c>
      <c r="O95" s="115">
        <f t="shared" si="40"/>
        <v>3475476.1583023528</v>
      </c>
      <c r="P95" s="115">
        <f t="shared" si="40"/>
        <v>6373041.7630142923</v>
      </c>
      <c r="Q95" s="115">
        <f t="shared" si="40"/>
        <v>13558971.249442676</v>
      </c>
      <c r="R95" s="115">
        <f t="shared" si="40"/>
        <v>3778761.8849447635</v>
      </c>
      <c r="S95" s="115">
        <f t="shared" si="40"/>
        <v>1376907.2890387527</v>
      </c>
      <c r="T95" s="115">
        <f t="shared" si="40"/>
        <v>3973591.0406755237</v>
      </c>
      <c r="U95" s="115">
        <f t="shared" si="40"/>
        <v>5685750.0470331227</v>
      </c>
      <c r="V95" s="115">
        <f t="shared" si="40"/>
        <v>4938703.4214450493</v>
      </c>
      <c r="W95" s="115">
        <f t="shared" si="40"/>
        <v>4726098.5081441738</v>
      </c>
      <c r="X95" s="115">
        <f t="shared" si="40"/>
        <v>179208</v>
      </c>
      <c r="Y95" s="115">
        <f t="shared" si="40"/>
        <v>164477.76442148862</v>
      </c>
      <c r="Z95" s="115">
        <f t="shared" si="40"/>
        <v>200953.64985671622</v>
      </c>
      <c r="AA95" s="115">
        <f t="shared" si="40"/>
        <v>121511.31704428693</v>
      </c>
      <c r="AB95" s="115">
        <f t="shared" si="40"/>
        <v>0</v>
      </c>
      <c r="AC95" s="115">
        <f t="shared" si="40"/>
        <v>0</v>
      </c>
      <c r="AD95" s="115">
        <f t="shared" si="40"/>
        <v>0</v>
      </c>
      <c r="AE95" s="115">
        <f t="shared" si="40"/>
        <v>0</v>
      </c>
      <c r="AF95" s="115">
        <f t="shared" si="40"/>
        <v>0</v>
      </c>
      <c r="AG95" s="115">
        <f t="shared" si="40"/>
        <v>0</v>
      </c>
      <c r="AH95" s="115">
        <f t="shared" si="40"/>
        <v>0</v>
      </c>
      <c r="AI95" s="115">
        <f t="shared" si="40"/>
        <v>152871</v>
      </c>
      <c r="AJ95" s="115">
        <f t="shared" si="40"/>
        <v>47963</v>
      </c>
      <c r="AK95" s="115">
        <f t="shared" ref="AK95:BB95" si="41">SUBTOTAL(9,AK98:AK131)</f>
        <v>0</v>
      </c>
      <c r="AL95" s="115">
        <f t="shared" si="41"/>
        <v>0</v>
      </c>
      <c r="AM95" s="115">
        <f t="shared" si="41"/>
        <v>9822083</v>
      </c>
      <c r="AN95" s="115">
        <f t="shared" si="41"/>
        <v>0</v>
      </c>
      <c r="AO95" s="115">
        <f t="shared" si="41"/>
        <v>0</v>
      </c>
      <c r="AP95" s="115">
        <f t="shared" si="41"/>
        <v>0</v>
      </c>
      <c r="AQ95" s="115">
        <f t="shared" si="41"/>
        <v>0</v>
      </c>
      <c r="AR95" s="115">
        <f t="shared" si="41"/>
        <v>0</v>
      </c>
      <c r="AS95" s="115">
        <f t="shared" si="41"/>
        <v>0</v>
      </c>
      <c r="AT95" s="115">
        <f t="shared" si="41"/>
        <v>0</v>
      </c>
      <c r="AU95" s="115">
        <f t="shared" si="41"/>
        <v>408039</v>
      </c>
      <c r="AV95" s="115">
        <f t="shared" si="41"/>
        <v>2646921</v>
      </c>
      <c r="AW95" s="115">
        <f t="shared" si="41"/>
        <v>0</v>
      </c>
      <c r="AX95" s="115">
        <f t="shared" si="41"/>
        <v>757787</v>
      </c>
      <c r="AY95" s="115">
        <f t="shared" si="41"/>
        <v>0</v>
      </c>
      <c r="AZ95" s="115">
        <f t="shared" si="41"/>
        <v>355100</v>
      </c>
      <c r="BA95" s="115">
        <f t="shared" si="41"/>
        <v>0</v>
      </c>
      <c r="BB95" s="115">
        <f t="shared" si="41"/>
        <v>3597528</v>
      </c>
    </row>
    <row r="96" spans="1:54" ht="15.75">
      <c r="A96" s="1"/>
      <c r="B96" s="4">
        <v>3230</v>
      </c>
      <c r="C96" s="5" t="s">
        <v>48</v>
      </c>
      <c r="D96" s="3"/>
      <c r="E96" s="112">
        <f t="shared" ref="E96:AJ96" si="42">SUBTOTAL(9,E98:E131)</f>
        <v>85496500</v>
      </c>
      <c r="F96" s="112">
        <f t="shared" si="42"/>
        <v>-4.1499997714709025E-2</v>
      </c>
      <c r="G96" s="112">
        <f t="shared" si="42"/>
        <v>85496500.041500002</v>
      </c>
      <c r="H96" s="112">
        <f t="shared" si="42"/>
        <v>764823.62174998154</v>
      </c>
      <c r="I96" s="112">
        <f t="shared" si="42"/>
        <v>4812022.7460221043</v>
      </c>
      <c r="J96" s="112">
        <f t="shared" si="42"/>
        <v>2478195.7992721507</v>
      </c>
      <c r="K96" s="112">
        <f t="shared" si="42"/>
        <v>2282717.6296431953</v>
      </c>
      <c r="L96" s="112">
        <f t="shared" si="42"/>
        <v>5440141.2337237932</v>
      </c>
      <c r="M96" s="112">
        <f t="shared" si="42"/>
        <v>1568505.5057895719</v>
      </c>
      <c r="N96" s="112">
        <f t="shared" si="42"/>
        <v>1808349.4119359986</v>
      </c>
      <c r="O96" s="112">
        <f t="shared" si="42"/>
        <v>3475476.1583023528</v>
      </c>
      <c r="P96" s="112">
        <f t="shared" si="42"/>
        <v>6373041.7630142923</v>
      </c>
      <c r="Q96" s="112">
        <f t="shared" si="42"/>
        <v>13558971.249442676</v>
      </c>
      <c r="R96" s="112">
        <f t="shared" si="42"/>
        <v>3778761.8849447635</v>
      </c>
      <c r="S96" s="112">
        <f t="shared" si="42"/>
        <v>1376907.2890387527</v>
      </c>
      <c r="T96" s="112">
        <f t="shared" si="42"/>
        <v>3973591.0406755237</v>
      </c>
      <c r="U96" s="112">
        <f t="shared" si="42"/>
        <v>5685750.0470331227</v>
      </c>
      <c r="V96" s="112">
        <f t="shared" si="42"/>
        <v>4938703.4214450493</v>
      </c>
      <c r="W96" s="112">
        <f t="shared" si="42"/>
        <v>4726098.5081441738</v>
      </c>
      <c r="X96" s="112">
        <f t="shared" si="42"/>
        <v>179208</v>
      </c>
      <c r="Y96" s="112">
        <f t="shared" si="42"/>
        <v>164477.76442148862</v>
      </c>
      <c r="Z96" s="112">
        <f t="shared" si="42"/>
        <v>200953.64985671622</v>
      </c>
      <c r="AA96" s="112">
        <f t="shared" si="42"/>
        <v>121511.31704428693</v>
      </c>
      <c r="AB96" s="112">
        <f t="shared" si="42"/>
        <v>0</v>
      </c>
      <c r="AC96" s="112">
        <f t="shared" si="42"/>
        <v>0</v>
      </c>
      <c r="AD96" s="112">
        <f t="shared" si="42"/>
        <v>0</v>
      </c>
      <c r="AE96" s="112">
        <f t="shared" si="42"/>
        <v>0</v>
      </c>
      <c r="AF96" s="112">
        <f t="shared" si="42"/>
        <v>0</v>
      </c>
      <c r="AG96" s="112">
        <f t="shared" si="42"/>
        <v>0</v>
      </c>
      <c r="AH96" s="112">
        <f t="shared" si="42"/>
        <v>0</v>
      </c>
      <c r="AI96" s="112">
        <f t="shared" si="42"/>
        <v>152871</v>
      </c>
      <c r="AJ96" s="112">
        <f t="shared" si="42"/>
        <v>47963</v>
      </c>
      <c r="AK96" s="112">
        <f t="shared" ref="AK96:BB96" si="43">SUBTOTAL(9,AK98:AK131)</f>
        <v>0</v>
      </c>
      <c r="AL96" s="112">
        <f t="shared" si="43"/>
        <v>0</v>
      </c>
      <c r="AM96" s="112">
        <f t="shared" si="43"/>
        <v>9822083</v>
      </c>
      <c r="AN96" s="112">
        <f t="shared" si="43"/>
        <v>0</v>
      </c>
      <c r="AO96" s="112">
        <f t="shared" si="43"/>
        <v>0</v>
      </c>
      <c r="AP96" s="112">
        <f t="shared" si="43"/>
        <v>0</v>
      </c>
      <c r="AQ96" s="112">
        <f t="shared" si="43"/>
        <v>0</v>
      </c>
      <c r="AR96" s="112">
        <f t="shared" si="43"/>
        <v>0</v>
      </c>
      <c r="AS96" s="112">
        <f t="shared" si="43"/>
        <v>0</v>
      </c>
      <c r="AT96" s="112">
        <f t="shared" si="43"/>
        <v>0</v>
      </c>
      <c r="AU96" s="112">
        <f t="shared" si="43"/>
        <v>408039</v>
      </c>
      <c r="AV96" s="112">
        <f t="shared" si="43"/>
        <v>2646921</v>
      </c>
      <c r="AW96" s="112">
        <f t="shared" si="43"/>
        <v>0</v>
      </c>
      <c r="AX96" s="112">
        <f t="shared" si="43"/>
        <v>757787</v>
      </c>
      <c r="AY96" s="112">
        <f t="shared" si="43"/>
        <v>0</v>
      </c>
      <c r="AZ96" s="112">
        <f t="shared" si="43"/>
        <v>355100</v>
      </c>
      <c r="BA96" s="112">
        <f t="shared" si="43"/>
        <v>0</v>
      </c>
      <c r="BB96" s="112">
        <f t="shared" si="43"/>
        <v>3597528</v>
      </c>
    </row>
    <row r="97" spans="1:54" ht="15.75">
      <c r="A97" s="1"/>
      <c r="B97" s="4"/>
      <c r="C97" s="3" t="s">
        <v>163</v>
      </c>
      <c r="D97" s="59"/>
      <c r="E97" s="112">
        <f t="shared" ref="E97:AJ97" si="44">SUBTOTAL(9,E98:E126)</f>
        <v>70656607</v>
      </c>
      <c r="F97" s="112">
        <f t="shared" si="44"/>
        <v>-4.1499997714709025E-2</v>
      </c>
      <c r="G97" s="112">
        <f t="shared" si="44"/>
        <v>70656607.041500002</v>
      </c>
      <c r="H97" s="112">
        <f t="shared" si="44"/>
        <v>734823.62174998154</v>
      </c>
      <c r="I97" s="112">
        <f t="shared" si="44"/>
        <v>4762022.7460221043</v>
      </c>
      <c r="J97" s="112">
        <f t="shared" si="44"/>
        <v>2378195.7992721507</v>
      </c>
      <c r="K97" s="112">
        <f t="shared" si="44"/>
        <v>2252717.6296431953</v>
      </c>
      <c r="L97" s="112">
        <f t="shared" si="44"/>
        <v>5370141.2337237932</v>
      </c>
      <c r="M97" s="112">
        <f t="shared" si="44"/>
        <v>1518505.5057895719</v>
      </c>
      <c r="N97" s="112">
        <f t="shared" si="44"/>
        <v>1748349.4119359986</v>
      </c>
      <c r="O97" s="112">
        <f t="shared" si="44"/>
        <v>3445476.1583023528</v>
      </c>
      <c r="P97" s="112">
        <f t="shared" si="44"/>
        <v>6333041.7630142923</v>
      </c>
      <c r="Q97" s="112">
        <f t="shared" si="44"/>
        <v>13488971.249442676</v>
      </c>
      <c r="R97" s="112">
        <f t="shared" si="44"/>
        <v>3758761.8849447635</v>
      </c>
      <c r="S97" s="112">
        <f t="shared" si="44"/>
        <v>1336907.2890387527</v>
      </c>
      <c r="T97" s="112">
        <f t="shared" si="44"/>
        <v>3943591.0406755237</v>
      </c>
      <c r="U97" s="112">
        <f t="shared" si="44"/>
        <v>5625750.0470331227</v>
      </c>
      <c r="V97" s="112">
        <f t="shared" si="44"/>
        <v>4848703.4214450493</v>
      </c>
      <c r="W97" s="112">
        <f t="shared" si="44"/>
        <v>4694098.5081441738</v>
      </c>
      <c r="X97" s="112">
        <f t="shared" si="44"/>
        <v>179208</v>
      </c>
      <c r="Y97" s="112">
        <f t="shared" si="44"/>
        <v>164477.76442148862</v>
      </c>
      <c r="Z97" s="112">
        <f t="shared" si="44"/>
        <v>200953.64985671622</v>
      </c>
      <c r="AA97" s="112">
        <f t="shared" si="44"/>
        <v>121511.31704428693</v>
      </c>
      <c r="AB97" s="112">
        <f t="shared" si="44"/>
        <v>0</v>
      </c>
      <c r="AC97" s="112">
        <f t="shared" si="44"/>
        <v>0</v>
      </c>
      <c r="AD97" s="112">
        <f t="shared" si="44"/>
        <v>0</v>
      </c>
      <c r="AE97" s="112">
        <f t="shared" si="44"/>
        <v>0</v>
      </c>
      <c r="AF97" s="112">
        <f t="shared" si="44"/>
        <v>0</v>
      </c>
      <c r="AG97" s="112">
        <f t="shared" si="44"/>
        <v>0</v>
      </c>
      <c r="AH97" s="112">
        <f t="shared" si="44"/>
        <v>0</v>
      </c>
      <c r="AI97" s="112">
        <f t="shared" si="44"/>
        <v>152871</v>
      </c>
      <c r="AJ97" s="112">
        <f t="shared" si="44"/>
        <v>0</v>
      </c>
      <c r="AK97" s="112">
        <f t="shared" ref="AK97:BB97" si="45">SUBTOTAL(9,AK98:AK126)</f>
        <v>0</v>
      </c>
      <c r="AL97" s="112">
        <f t="shared" si="45"/>
        <v>0</v>
      </c>
      <c r="AM97" s="112">
        <f t="shared" si="45"/>
        <v>0</v>
      </c>
      <c r="AN97" s="112">
        <f t="shared" si="45"/>
        <v>0</v>
      </c>
      <c r="AO97" s="112">
        <f t="shared" si="45"/>
        <v>0</v>
      </c>
      <c r="AP97" s="112">
        <f t="shared" si="45"/>
        <v>0</v>
      </c>
      <c r="AQ97" s="112">
        <f t="shared" si="45"/>
        <v>0</v>
      </c>
      <c r="AR97" s="112">
        <f t="shared" si="45"/>
        <v>0</v>
      </c>
      <c r="AS97" s="112">
        <f t="shared" si="45"/>
        <v>0</v>
      </c>
      <c r="AT97" s="112">
        <f t="shared" si="45"/>
        <v>0</v>
      </c>
      <c r="AU97" s="112">
        <f t="shared" si="45"/>
        <v>0</v>
      </c>
      <c r="AV97" s="112">
        <f t="shared" si="45"/>
        <v>0</v>
      </c>
      <c r="AW97" s="112">
        <f t="shared" si="45"/>
        <v>0</v>
      </c>
      <c r="AX97" s="112">
        <f t="shared" si="45"/>
        <v>0</v>
      </c>
      <c r="AY97" s="112">
        <f t="shared" si="45"/>
        <v>0</v>
      </c>
      <c r="AZ97" s="112">
        <f t="shared" si="45"/>
        <v>0</v>
      </c>
      <c r="BA97" s="112">
        <f t="shared" si="45"/>
        <v>0</v>
      </c>
      <c r="BB97" s="112">
        <f t="shared" si="45"/>
        <v>3597528</v>
      </c>
    </row>
    <row r="98" spans="1:54" s="58" customFormat="1" ht="31.5">
      <c r="A98" s="1"/>
      <c r="B98" s="2"/>
      <c r="C98" s="3" t="s">
        <v>137</v>
      </c>
      <c r="D98" s="59">
        <v>0.25</v>
      </c>
      <c r="E98" s="183">
        <v>27866269</v>
      </c>
      <c r="F98" s="183">
        <f t="shared" ref="F98:F131" si="46">E98-G98</f>
        <v>-0.19999999552965164</v>
      </c>
      <c r="G98" s="184">
        <f t="shared" ref="G98" si="47">SUBTOTAL(9,G99:G101)</f>
        <v>27866269.199999996</v>
      </c>
      <c r="H98" s="184">
        <f>SUBTOTAL(9,H99:H101)</f>
        <v>163039.17868362757</v>
      </c>
      <c r="I98" s="184">
        <f t="shared" ref="I98:BB98" si="48">SUBTOTAL(9,I99:I101)</f>
        <v>1921513.2930044415</v>
      </c>
      <c r="J98" s="184">
        <f t="shared" si="48"/>
        <v>821282.27065799979</v>
      </c>
      <c r="K98" s="184">
        <f t="shared" si="48"/>
        <v>716361.29628202226</v>
      </c>
      <c r="L98" s="184">
        <f t="shared" si="48"/>
        <v>3192845.6955328216</v>
      </c>
      <c r="M98" s="184">
        <f t="shared" si="48"/>
        <v>645980.73182664125</v>
      </c>
      <c r="N98" s="184">
        <f t="shared" si="48"/>
        <v>824571.8866756144</v>
      </c>
      <c r="O98" s="184">
        <f t="shared" si="48"/>
        <v>799975.55620841403</v>
      </c>
      <c r="P98" s="184">
        <f t="shared" si="48"/>
        <v>2500088.2475727471</v>
      </c>
      <c r="Q98" s="184">
        <f t="shared" si="48"/>
        <v>5175501.2580508729</v>
      </c>
      <c r="R98" s="184">
        <f t="shared" si="48"/>
        <v>1965122.3653978221</v>
      </c>
      <c r="S98" s="184">
        <f t="shared" si="48"/>
        <v>606000.48229202058</v>
      </c>
      <c r="T98" s="184">
        <f t="shared" si="48"/>
        <v>1430300.0259540856</v>
      </c>
      <c r="U98" s="184">
        <f t="shared" si="48"/>
        <v>2288780.3247600119</v>
      </c>
      <c r="V98" s="184">
        <f t="shared" si="48"/>
        <v>2327002.3316998426</v>
      </c>
      <c r="W98" s="184">
        <f t="shared" si="48"/>
        <v>2437855.7957208459</v>
      </c>
      <c r="X98" s="184">
        <f t="shared" si="48"/>
        <v>0</v>
      </c>
      <c r="Y98" s="184">
        <f t="shared" si="48"/>
        <v>11761.401904547571</v>
      </c>
      <c r="Z98" s="184">
        <f t="shared" si="48"/>
        <v>16165.493394184974</v>
      </c>
      <c r="AA98" s="184">
        <f t="shared" si="48"/>
        <v>22121.564381436216</v>
      </c>
      <c r="AB98" s="184">
        <f t="shared" si="48"/>
        <v>0</v>
      </c>
      <c r="AC98" s="184">
        <f t="shared" si="48"/>
        <v>0</v>
      </c>
      <c r="AD98" s="184">
        <f t="shared" si="48"/>
        <v>0</v>
      </c>
      <c r="AE98" s="184">
        <f t="shared" si="48"/>
        <v>0</v>
      </c>
      <c r="AF98" s="184">
        <f t="shared" si="48"/>
        <v>0</v>
      </c>
      <c r="AG98" s="184">
        <f t="shared" si="48"/>
        <v>0</v>
      </c>
      <c r="AH98" s="184">
        <f t="shared" si="48"/>
        <v>0</v>
      </c>
      <c r="AI98" s="184">
        <f t="shared" si="48"/>
        <v>0</v>
      </c>
      <c r="AJ98" s="184">
        <f t="shared" si="48"/>
        <v>0</v>
      </c>
      <c r="AK98" s="184">
        <f t="shared" si="48"/>
        <v>0</v>
      </c>
      <c r="AL98" s="184">
        <f t="shared" si="48"/>
        <v>0</v>
      </c>
      <c r="AM98" s="184">
        <f t="shared" si="48"/>
        <v>0</v>
      </c>
      <c r="AN98" s="184">
        <f t="shared" si="48"/>
        <v>0</v>
      </c>
      <c r="AO98" s="184">
        <f t="shared" si="48"/>
        <v>0</v>
      </c>
      <c r="AP98" s="184">
        <f t="shared" si="48"/>
        <v>0</v>
      </c>
      <c r="AQ98" s="184">
        <f t="shared" si="48"/>
        <v>0</v>
      </c>
      <c r="AR98" s="184">
        <f t="shared" si="48"/>
        <v>0</v>
      </c>
      <c r="AS98" s="184">
        <f t="shared" si="48"/>
        <v>0</v>
      </c>
      <c r="AT98" s="184">
        <f t="shared" si="48"/>
        <v>0</v>
      </c>
      <c r="AU98" s="184">
        <f t="shared" si="48"/>
        <v>0</v>
      </c>
      <c r="AV98" s="184">
        <f t="shared" si="48"/>
        <v>0</v>
      </c>
      <c r="AW98" s="184">
        <f t="shared" si="48"/>
        <v>0</v>
      </c>
      <c r="AX98" s="184">
        <f t="shared" si="48"/>
        <v>0</v>
      </c>
      <c r="AY98" s="184">
        <f t="shared" si="48"/>
        <v>0</v>
      </c>
      <c r="AZ98" s="184">
        <f t="shared" si="48"/>
        <v>0</v>
      </c>
      <c r="BA98" s="184">
        <f t="shared" si="48"/>
        <v>0</v>
      </c>
      <c r="BB98" s="184">
        <f t="shared" si="48"/>
        <v>0</v>
      </c>
    </row>
    <row r="99" spans="1:54" s="176" customFormat="1" ht="15.75">
      <c r="A99" s="207"/>
      <c r="B99" s="4"/>
      <c r="C99" s="172" t="s">
        <v>209</v>
      </c>
      <c r="D99" s="173"/>
      <c r="E99" s="174"/>
      <c r="F99" s="183"/>
      <c r="G99" s="113">
        <f t="shared" ref="G99:G105" si="49">SUM(H99:BB99)</f>
        <v>27866269.199999996</v>
      </c>
      <c r="H99" s="175">
        <v>164795.39999999997</v>
      </c>
      <c r="I99" s="175">
        <v>2087246.7000000002</v>
      </c>
      <c r="J99" s="175">
        <v>936855.14999999979</v>
      </c>
      <c r="K99" s="175">
        <v>834418.20000000007</v>
      </c>
      <c r="L99" s="175">
        <v>3200135.3999999994</v>
      </c>
      <c r="M99" s="175">
        <v>623145.6</v>
      </c>
      <c r="N99" s="175">
        <v>1115025.45</v>
      </c>
      <c r="O99" s="175">
        <v>737282.70000000007</v>
      </c>
      <c r="P99" s="175">
        <v>2072416.5000000002</v>
      </c>
      <c r="Q99" s="175">
        <v>5078361.7499999991</v>
      </c>
      <c r="R99" s="175">
        <v>2032742.25</v>
      </c>
      <c r="S99" s="175">
        <v>654838.79999999993</v>
      </c>
      <c r="T99" s="175">
        <v>1159331.25</v>
      </c>
      <c r="U99" s="175">
        <v>2158798.9499999997</v>
      </c>
      <c r="V99" s="175">
        <v>2442039.5999999996</v>
      </c>
      <c r="W99" s="175">
        <v>2568835.5000000014</v>
      </c>
      <c r="X99" s="175">
        <v>0</v>
      </c>
      <c r="Y99" s="175">
        <v>0</v>
      </c>
      <c r="Z99" s="175">
        <v>0</v>
      </c>
      <c r="AA99" s="175">
        <v>0</v>
      </c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</row>
    <row r="100" spans="1:54" s="176" customFormat="1" ht="47.25">
      <c r="A100" s="207"/>
      <c r="B100" s="4"/>
      <c r="C100" s="172" t="s">
        <v>212</v>
      </c>
      <c r="D100" s="173"/>
      <c r="E100" s="174"/>
      <c r="F100" s="183"/>
      <c r="G100" s="113">
        <f t="shared" si="49"/>
        <v>-2864181.0265189554</v>
      </c>
      <c r="H100" s="175">
        <v>-4903.8966005009424</v>
      </c>
      <c r="I100" s="175">
        <v>-510737.58698189328</v>
      </c>
      <c r="J100" s="175">
        <v>-195108.71882101079</v>
      </c>
      <c r="K100" s="175">
        <v>-162972.53568841843</v>
      </c>
      <c r="L100" s="175">
        <v>-39578.299450175371</v>
      </c>
      <c r="M100" s="175">
        <v>-115355.39521332271</v>
      </c>
      <c r="N100" s="175">
        <v>-316063.59083474206</v>
      </c>
      <c r="O100" s="175">
        <v>-88707.261207716074</v>
      </c>
      <c r="P100" s="175">
        <v>-172348.00395113113</v>
      </c>
      <c r="Q100" s="175">
        <v>-143800.11421546619</v>
      </c>
      <c r="R100" s="175">
        <v>-104608.23651860701</v>
      </c>
      <c r="S100" s="175">
        <v>-131675.09836122167</v>
      </c>
      <c r="T100" s="175">
        <v>-52309.552089610603</v>
      </c>
      <c r="U100" s="175">
        <v>-226838.18191706296</v>
      </c>
      <c r="V100" s="175">
        <v>-389766.4148148566</v>
      </c>
      <c r="W100" s="175">
        <v>-209408.13985321904</v>
      </c>
      <c r="X100" s="175">
        <v>0</v>
      </c>
      <c r="Y100" s="175">
        <v>0</v>
      </c>
      <c r="Z100" s="175">
        <v>0</v>
      </c>
      <c r="AA100" s="175">
        <v>0</v>
      </c>
      <c r="AB100" s="175">
        <v>0</v>
      </c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</row>
    <row r="101" spans="1:54" s="182" customFormat="1" ht="31.5">
      <c r="A101" s="211"/>
      <c r="B101" s="177"/>
      <c r="C101" s="178" t="s">
        <v>208</v>
      </c>
      <c r="D101" s="179"/>
      <c r="E101" s="180"/>
      <c r="F101" s="183"/>
      <c r="G101" s="152">
        <f t="shared" si="49"/>
        <v>2864181.0265189554</v>
      </c>
      <c r="H101" s="181">
        <v>3147.6752841285488</v>
      </c>
      <c r="I101" s="181">
        <v>345004.17998633464</v>
      </c>
      <c r="J101" s="181">
        <v>79535.839479010785</v>
      </c>
      <c r="K101" s="181">
        <v>44915.63197044062</v>
      </c>
      <c r="L101" s="181">
        <v>32288.594982997514</v>
      </c>
      <c r="M101" s="181">
        <v>138190.52703996398</v>
      </c>
      <c r="N101" s="181">
        <v>25610.027510356507</v>
      </c>
      <c r="O101" s="181">
        <v>151400.11741613003</v>
      </c>
      <c r="P101" s="181">
        <v>600019.75152387796</v>
      </c>
      <c r="Q101" s="181">
        <v>240939.62226634007</v>
      </c>
      <c r="R101" s="181">
        <v>36988.351916429121</v>
      </c>
      <c r="S101" s="181">
        <v>82836.780653242313</v>
      </c>
      <c r="T101" s="181">
        <v>323278.32804369624</v>
      </c>
      <c r="U101" s="181">
        <v>356819.5566770751</v>
      </c>
      <c r="V101" s="181">
        <v>274729.14651469956</v>
      </c>
      <c r="W101" s="181">
        <v>78428.435574063566</v>
      </c>
      <c r="X101" s="181">
        <v>0</v>
      </c>
      <c r="Y101" s="181">
        <v>11761.401904547571</v>
      </c>
      <c r="Z101" s="181">
        <v>16165.493394184974</v>
      </c>
      <c r="AA101" s="181">
        <v>22121.564381436216</v>
      </c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</row>
    <row r="102" spans="1:54" s="58" customFormat="1" ht="31.5">
      <c r="A102" s="1"/>
      <c r="B102" s="2"/>
      <c r="C102" s="3" t="s">
        <v>172</v>
      </c>
      <c r="D102" s="59">
        <v>0.25</v>
      </c>
      <c r="E102" s="183">
        <v>1015199</v>
      </c>
      <c r="F102" s="183">
        <f t="shared" si="46"/>
        <v>0.19999999995343387</v>
      </c>
      <c r="G102" s="184">
        <f t="shared" ref="G102" si="50">SUBTOTAL(9,G103:G105)</f>
        <v>1015198.8</v>
      </c>
      <c r="H102" s="184">
        <f>SUBTOTAL(9,H103:H105)</f>
        <v>14015.123986139293</v>
      </c>
      <c r="I102" s="184">
        <f t="shared" ref="I102:BB102" si="51">SUBTOTAL(9,I103:I105)</f>
        <v>111844.16631165821</v>
      </c>
      <c r="J102" s="184">
        <f t="shared" si="51"/>
        <v>9720.8376510206581</v>
      </c>
      <c r="K102" s="184">
        <f t="shared" si="51"/>
        <v>55129.336135752841</v>
      </c>
      <c r="L102" s="184">
        <f t="shared" si="51"/>
        <v>3136.5127579974414</v>
      </c>
      <c r="M102" s="184">
        <f t="shared" si="51"/>
        <v>3755.0203153131511</v>
      </c>
      <c r="N102" s="184">
        <f t="shared" si="51"/>
        <v>3172.354742542941</v>
      </c>
      <c r="O102" s="184">
        <f t="shared" si="51"/>
        <v>52356.614558372508</v>
      </c>
      <c r="P102" s="184">
        <f t="shared" si="51"/>
        <v>118408.35498754607</v>
      </c>
      <c r="Q102" s="184">
        <f t="shared" si="51"/>
        <v>414382.9362874112</v>
      </c>
      <c r="R102" s="184">
        <f t="shared" si="51"/>
        <v>18957.769000691023</v>
      </c>
      <c r="S102" s="184">
        <f t="shared" si="51"/>
        <v>3201.5776654550864</v>
      </c>
      <c r="T102" s="184">
        <f t="shared" si="51"/>
        <v>75139.783147909795</v>
      </c>
      <c r="U102" s="184">
        <f t="shared" si="51"/>
        <v>85703.71216321754</v>
      </c>
      <c r="V102" s="184">
        <f t="shared" si="51"/>
        <v>36172.060488145398</v>
      </c>
      <c r="W102" s="184">
        <f t="shared" si="51"/>
        <v>7678.278920932029</v>
      </c>
      <c r="X102" s="184">
        <f t="shared" si="51"/>
        <v>0</v>
      </c>
      <c r="Y102" s="184">
        <f t="shared" si="51"/>
        <v>0</v>
      </c>
      <c r="Z102" s="184">
        <f t="shared" si="51"/>
        <v>291.66002219981937</v>
      </c>
      <c r="AA102" s="184">
        <f t="shared" si="51"/>
        <v>2132.7008576949825</v>
      </c>
      <c r="AB102" s="184">
        <f t="shared" si="51"/>
        <v>0</v>
      </c>
      <c r="AC102" s="184">
        <f t="shared" si="51"/>
        <v>0</v>
      </c>
      <c r="AD102" s="184">
        <f t="shared" si="51"/>
        <v>0</v>
      </c>
      <c r="AE102" s="184">
        <f t="shared" si="51"/>
        <v>0</v>
      </c>
      <c r="AF102" s="184">
        <f t="shared" si="51"/>
        <v>0</v>
      </c>
      <c r="AG102" s="184">
        <f t="shared" si="51"/>
        <v>0</v>
      </c>
      <c r="AH102" s="184">
        <f t="shared" si="51"/>
        <v>0</v>
      </c>
      <c r="AI102" s="184">
        <f t="shared" si="51"/>
        <v>0</v>
      </c>
      <c r="AJ102" s="184">
        <f t="shared" si="51"/>
        <v>0</v>
      </c>
      <c r="AK102" s="184">
        <f t="shared" si="51"/>
        <v>0</v>
      </c>
      <c r="AL102" s="184">
        <f t="shared" si="51"/>
        <v>0</v>
      </c>
      <c r="AM102" s="184">
        <f t="shared" si="51"/>
        <v>0</v>
      </c>
      <c r="AN102" s="184">
        <f t="shared" si="51"/>
        <v>0</v>
      </c>
      <c r="AO102" s="184">
        <f t="shared" si="51"/>
        <v>0</v>
      </c>
      <c r="AP102" s="184">
        <f t="shared" si="51"/>
        <v>0</v>
      </c>
      <c r="AQ102" s="184">
        <f t="shared" si="51"/>
        <v>0</v>
      </c>
      <c r="AR102" s="184">
        <f t="shared" si="51"/>
        <v>0</v>
      </c>
      <c r="AS102" s="184">
        <f t="shared" si="51"/>
        <v>0</v>
      </c>
      <c r="AT102" s="184">
        <f t="shared" si="51"/>
        <v>0</v>
      </c>
      <c r="AU102" s="184">
        <f t="shared" si="51"/>
        <v>0</v>
      </c>
      <c r="AV102" s="184">
        <f t="shared" si="51"/>
        <v>0</v>
      </c>
      <c r="AW102" s="184">
        <f t="shared" si="51"/>
        <v>0</v>
      </c>
      <c r="AX102" s="184">
        <f t="shared" si="51"/>
        <v>0</v>
      </c>
      <c r="AY102" s="184">
        <f t="shared" si="51"/>
        <v>0</v>
      </c>
      <c r="AZ102" s="184">
        <f t="shared" si="51"/>
        <v>0</v>
      </c>
      <c r="BA102" s="184">
        <f t="shared" si="51"/>
        <v>0</v>
      </c>
      <c r="BB102" s="184">
        <f t="shared" si="51"/>
        <v>0</v>
      </c>
    </row>
    <row r="103" spans="1:54" s="176" customFormat="1" ht="15.75">
      <c r="A103" s="207"/>
      <c r="B103" s="4"/>
      <c r="C103" s="172" t="s">
        <v>209</v>
      </c>
      <c r="D103" s="173"/>
      <c r="E103" s="174"/>
      <c r="F103" s="183"/>
      <c r="G103" s="113">
        <f t="shared" si="49"/>
        <v>1015198.8</v>
      </c>
      <c r="H103" s="175">
        <v>15211.35</v>
      </c>
      <c r="I103" s="175">
        <v>111295.8</v>
      </c>
      <c r="J103" s="175">
        <v>9101.3999999999978</v>
      </c>
      <c r="K103" s="175">
        <v>63120.749999999993</v>
      </c>
      <c r="L103" s="175">
        <v>0</v>
      </c>
      <c r="M103" s="175">
        <v>0</v>
      </c>
      <c r="N103" s="175">
        <v>0</v>
      </c>
      <c r="O103" s="175">
        <v>44352</v>
      </c>
      <c r="P103" s="175">
        <v>118075.64999999998</v>
      </c>
      <c r="Q103" s="175">
        <v>426333.60000000003</v>
      </c>
      <c r="R103" s="175">
        <v>17371.2</v>
      </c>
      <c r="S103" s="175">
        <v>1386</v>
      </c>
      <c r="T103" s="175">
        <v>76588.05</v>
      </c>
      <c r="U103" s="175">
        <v>89720.39999999998</v>
      </c>
      <c r="V103" s="175">
        <v>35712.6</v>
      </c>
      <c r="W103" s="175">
        <v>6930</v>
      </c>
      <c r="X103" s="175">
        <v>0</v>
      </c>
      <c r="Y103" s="175">
        <v>0</v>
      </c>
      <c r="Z103" s="175">
        <v>0</v>
      </c>
      <c r="AA103" s="175"/>
      <c r="AB103" s="175">
        <v>0</v>
      </c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</row>
    <row r="104" spans="1:54" s="176" customFormat="1" ht="47.25">
      <c r="A104" s="207"/>
      <c r="B104" s="4"/>
      <c r="C104" s="172" t="s">
        <v>212</v>
      </c>
      <c r="D104" s="173"/>
      <c r="E104" s="174"/>
      <c r="F104" s="183"/>
      <c r="G104" s="113">
        <f t="shared" si="49"/>
        <v>-48333.349533478045</v>
      </c>
      <c r="H104" s="175">
        <v>-1342.3574007220213</v>
      </c>
      <c r="I104" s="175">
        <v>-2673.0844584580482</v>
      </c>
      <c r="J104" s="175">
        <v>-126.43771712158559</v>
      </c>
      <c r="K104" s="175">
        <v>-8303.1281849901643</v>
      </c>
      <c r="L104" s="175">
        <v>0</v>
      </c>
      <c r="M104" s="175">
        <v>0</v>
      </c>
      <c r="N104" s="175">
        <v>0</v>
      </c>
      <c r="O104" s="175">
        <v>-1412.6960085264072</v>
      </c>
      <c r="P104" s="175">
        <v>-6257.8433312955603</v>
      </c>
      <c r="Q104" s="175">
        <v>-12947.607419717126</v>
      </c>
      <c r="R104" s="175">
        <v>-543.30124274539048</v>
      </c>
      <c r="S104" s="175">
        <v>-34.552820193206571</v>
      </c>
      <c r="T104" s="175">
        <v>-5042.4448287341656</v>
      </c>
      <c r="U104" s="175">
        <v>-7365.7264718572987</v>
      </c>
      <c r="V104" s="175">
        <v>-2020.6520132734149</v>
      </c>
      <c r="W104" s="175">
        <v>-263.51763584366017</v>
      </c>
      <c r="X104" s="175">
        <v>0</v>
      </c>
      <c r="Y104" s="175">
        <v>0</v>
      </c>
      <c r="Z104" s="175">
        <v>0</v>
      </c>
      <c r="AA104" s="175"/>
      <c r="AB104" s="175">
        <v>0</v>
      </c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</row>
    <row r="105" spans="1:54" s="182" customFormat="1" ht="31.5">
      <c r="A105" s="211"/>
      <c r="B105" s="177"/>
      <c r="C105" s="178" t="s">
        <v>208</v>
      </c>
      <c r="D105" s="179"/>
      <c r="E105" s="180"/>
      <c r="F105" s="183"/>
      <c r="G105" s="152">
        <f t="shared" si="49"/>
        <v>48333.349533478045</v>
      </c>
      <c r="H105" s="181">
        <v>146.13138686131424</v>
      </c>
      <c r="I105" s="181">
        <v>3221.4507701162511</v>
      </c>
      <c r="J105" s="181">
        <v>745.87536814224586</v>
      </c>
      <c r="K105" s="181">
        <v>311.71432074301265</v>
      </c>
      <c r="L105" s="181">
        <v>3136.5127579974414</v>
      </c>
      <c r="M105" s="181">
        <v>3755.0203153131511</v>
      </c>
      <c r="N105" s="181">
        <v>3172.354742542941</v>
      </c>
      <c r="O105" s="181">
        <v>9417.3105668989156</v>
      </c>
      <c r="P105" s="181">
        <v>6590.5483188416547</v>
      </c>
      <c r="Q105" s="181">
        <v>996.94370712828822</v>
      </c>
      <c r="R105" s="181">
        <v>2129.8702434364131</v>
      </c>
      <c r="S105" s="181">
        <v>1850.130485648293</v>
      </c>
      <c r="T105" s="181">
        <v>3594.1779766439577</v>
      </c>
      <c r="U105" s="181">
        <v>3349.0386350748595</v>
      </c>
      <c r="V105" s="181">
        <v>2480.1125014188146</v>
      </c>
      <c r="W105" s="181">
        <v>1011.7965567756892</v>
      </c>
      <c r="X105" s="181">
        <v>0</v>
      </c>
      <c r="Y105" s="181">
        <v>0</v>
      </c>
      <c r="Z105" s="181">
        <v>291.66002219981937</v>
      </c>
      <c r="AA105" s="181">
        <v>2132.7008576949825</v>
      </c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</row>
    <row r="106" spans="1:54" s="58" customFormat="1" ht="31.5">
      <c r="A106" s="33"/>
      <c r="B106" s="171"/>
      <c r="C106" s="3" t="s">
        <v>138</v>
      </c>
      <c r="D106" s="59">
        <v>0.25</v>
      </c>
      <c r="E106" s="183">
        <v>1905796</v>
      </c>
      <c r="F106" s="183">
        <f t="shared" si="46"/>
        <v>-0.20000000018626451</v>
      </c>
      <c r="G106" s="184">
        <f t="shared" ref="G106:G162" si="52">SUM(H106:BB106)</f>
        <v>1905796.2000000002</v>
      </c>
      <c r="H106" s="184">
        <v>73735.199999999997</v>
      </c>
      <c r="I106" s="184">
        <v>107345.69999999998</v>
      </c>
      <c r="J106" s="184">
        <v>149872.80000000005</v>
      </c>
      <c r="K106" s="184">
        <v>176401.764</v>
      </c>
      <c r="L106" s="184">
        <v>0</v>
      </c>
      <c r="M106" s="184">
        <v>78355.199999999983</v>
      </c>
      <c r="N106" s="184">
        <v>169761.9</v>
      </c>
      <c r="O106" s="184">
        <v>155578.49999999997</v>
      </c>
      <c r="P106" s="184">
        <v>58974.299999999996</v>
      </c>
      <c r="Q106" s="184">
        <v>104712.29999999999</v>
      </c>
      <c r="R106" s="184">
        <v>67290.3</v>
      </c>
      <c r="S106" s="184">
        <v>33980.1</v>
      </c>
      <c r="T106" s="184">
        <v>112953.4</v>
      </c>
      <c r="U106" s="184">
        <v>373965.9</v>
      </c>
      <c r="V106" s="184">
        <v>108177.29999999999</v>
      </c>
      <c r="W106" s="184">
        <v>128574.59999999999</v>
      </c>
      <c r="X106" s="184">
        <v>0</v>
      </c>
      <c r="Y106" s="184">
        <v>0</v>
      </c>
      <c r="Z106" s="184">
        <v>2130.7999999999997</v>
      </c>
      <c r="AA106" s="184">
        <v>3986.136</v>
      </c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</row>
    <row r="107" spans="1:54" s="58" customFormat="1" ht="31.5">
      <c r="A107" s="1"/>
      <c r="B107" s="2"/>
      <c r="C107" s="3" t="s">
        <v>139</v>
      </c>
      <c r="D107" s="59">
        <v>0.25</v>
      </c>
      <c r="E107" s="183">
        <v>19477620</v>
      </c>
      <c r="F107" s="183">
        <f t="shared" si="46"/>
        <v>0.18449999764561653</v>
      </c>
      <c r="G107" s="184">
        <f t="shared" ref="G107" si="53">SUBTOTAL(9,G108:G110)</f>
        <v>19477619.815500002</v>
      </c>
      <c r="H107" s="184">
        <f>SUBTOTAL(9,H108:H110)</f>
        <v>129795.67579643951</v>
      </c>
      <c r="I107" s="184">
        <f t="shared" ref="I107:BB107" si="54">SUBTOTAL(9,I108:I110)</f>
        <v>1390806.9718126499</v>
      </c>
      <c r="J107" s="184">
        <f t="shared" si="54"/>
        <v>567571.89013725263</v>
      </c>
      <c r="K107" s="184">
        <f t="shared" si="54"/>
        <v>467271.77203660348</v>
      </c>
      <c r="L107" s="184">
        <f t="shared" si="54"/>
        <v>1434702.7592294838</v>
      </c>
      <c r="M107" s="184">
        <f t="shared" si="54"/>
        <v>295652.30146265036</v>
      </c>
      <c r="N107" s="184">
        <f t="shared" si="54"/>
        <v>320470.44622935535</v>
      </c>
      <c r="O107" s="184">
        <f t="shared" si="54"/>
        <v>1036842.4608353697</v>
      </c>
      <c r="P107" s="184">
        <f t="shared" si="54"/>
        <v>1731949.3551200149</v>
      </c>
      <c r="Q107" s="184">
        <f t="shared" si="54"/>
        <v>5948849.4354926981</v>
      </c>
      <c r="R107" s="184">
        <f t="shared" si="54"/>
        <v>940567.09073551313</v>
      </c>
      <c r="S107" s="184">
        <f t="shared" si="54"/>
        <v>326103.97240074241</v>
      </c>
      <c r="T107" s="184">
        <f t="shared" si="54"/>
        <v>1096828.1622123723</v>
      </c>
      <c r="U107" s="184">
        <f t="shared" si="54"/>
        <v>1239607.120096449</v>
      </c>
      <c r="V107" s="184">
        <f t="shared" si="54"/>
        <v>1211944.8074984513</v>
      </c>
      <c r="W107" s="184">
        <f t="shared" si="54"/>
        <v>1307237.4453108672</v>
      </c>
      <c r="X107" s="184">
        <f t="shared" si="54"/>
        <v>0</v>
      </c>
      <c r="Y107" s="184">
        <f t="shared" si="54"/>
        <v>8616.3832438152676</v>
      </c>
      <c r="Z107" s="184">
        <f t="shared" si="54"/>
        <v>6334.1695160383497</v>
      </c>
      <c r="AA107" s="184">
        <f t="shared" si="54"/>
        <v>16467.596333234687</v>
      </c>
      <c r="AB107" s="184">
        <f t="shared" si="54"/>
        <v>0</v>
      </c>
      <c r="AC107" s="184">
        <f t="shared" si="54"/>
        <v>0</v>
      </c>
      <c r="AD107" s="184">
        <f t="shared" si="54"/>
        <v>0</v>
      </c>
      <c r="AE107" s="184">
        <f t="shared" si="54"/>
        <v>0</v>
      </c>
      <c r="AF107" s="184">
        <f t="shared" si="54"/>
        <v>0</v>
      </c>
      <c r="AG107" s="184">
        <f t="shared" si="54"/>
        <v>0</v>
      </c>
      <c r="AH107" s="184">
        <f t="shared" si="54"/>
        <v>0</v>
      </c>
      <c r="AI107" s="184">
        <f t="shared" si="54"/>
        <v>0</v>
      </c>
      <c r="AJ107" s="184">
        <f t="shared" si="54"/>
        <v>0</v>
      </c>
      <c r="AK107" s="184">
        <f t="shared" si="54"/>
        <v>0</v>
      </c>
      <c r="AL107" s="184">
        <f t="shared" si="54"/>
        <v>0</v>
      </c>
      <c r="AM107" s="184">
        <f t="shared" si="54"/>
        <v>0</v>
      </c>
      <c r="AN107" s="184">
        <f t="shared" si="54"/>
        <v>0</v>
      </c>
      <c r="AO107" s="184">
        <f t="shared" si="54"/>
        <v>0</v>
      </c>
      <c r="AP107" s="184">
        <f t="shared" si="54"/>
        <v>0</v>
      </c>
      <c r="AQ107" s="184">
        <f t="shared" si="54"/>
        <v>0</v>
      </c>
      <c r="AR107" s="184">
        <f t="shared" si="54"/>
        <v>0</v>
      </c>
      <c r="AS107" s="184">
        <f t="shared" si="54"/>
        <v>0</v>
      </c>
      <c r="AT107" s="184">
        <f t="shared" si="54"/>
        <v>0</v>
      </c>
      <c r="AU107" s="184">
        <f t="shared" si="54"/>
        <v>0</v>
      </c>
      <c r="AV107" s="184">
        <f t="shared" si="54"/>
        <v>0</v>
      </c>
      <c r="AW107" s="184">
        <f t="shared" si="54"/>
        <v>0</v>
      </c>
      <c r="AX107" s="184">
        <f t="shared" si="54"/>
        <v>0</v>
      </c>
      <c r="AY107" s="184">
        <f t="shared" si="54"/>
        <v>0</v>
      </c>
      <c r="AZ107" s="184">
        <f t="shared" si="54"/>
        <v>0</v>
      </c>
      <c r="BA107" s="184">
        <f t="shared" si="54"/>
        <v>0</v>
      </c>
      <c r="BB107" s="184">
        <f t="shared" si="54"/>
        <v>0</v>
      </c>
    </row>
    <row r="108" spans="1:54" s="176" customFormat="1" ht="15.75">
      <c r="A108" s="207"/>
      <c r="B108" s="4"/>
      <c r="C108" s="172" t="s">
        <v>209</v>
      </c>
      <c r="D108" s="173"/>
      <c r="E108" s="174"/>
      <c r="F108" s="183"/>
      <c r="G108" s="113">
        <f t="shared" ref="G108:G114" si="55">SUM(H108:BB108)</f>
        <v>19477619.815500002</v>
      </c>
      <c r="H108" s="175">
        <v>131836.32</v>
      </c>
      <c r="I108" s="175">
        <v>1655807.7690000003</v>
      </c>
      <c r="J108" s="175">
        <v>609606.5745000001</v>
      </c>
      <c r="K108" s="175">
        <v>553842.94349999994</v>
      </c>
      <c r="L108" s="175">
        <v>1429124.0039999993</v>
      </c>
      <c r="M108" s="175">
        <v>281435.61599999992</v>
      </c>
      <c r="N108" s="175">
        <v>434859.92549999978</v>
      </c>
      <c r="O108" s="175">
        <v>1007307.6090000001</v>
      </c>
      <c r="P108" s="175">
        <v>1599044.139</v>
      </c>
      <c r="Q108" s="175">
        <v>5926271.6205000011</v>
      </c>
      <c r="R108" s="175">
        <v>979903.0395000003</v>
      </c>
      <c r="S108" s="175">
        <v>317825.04600000015</v>
      </c>
      <c r="T108" s="175">
        <v>927465.00000000012</v>
      </c>
      <c r="U108" s="175">
        <v>1103819.2934999994</v>
      </c>
      <c r="V108" s="175">
        <v>1154495.9580000001</v>
      </c>
      <c r="W108" s="175">
        <v>1364974.9575000007</v>
      </c>
      <c r="X108" s="175">
        <v>0</v>
      </c>
      <c r="Y108" s="175">
        <v>0</v>
      </c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</row>
    <row r="109" spans="1:54" s="176" customFormat="1" ht="47.25">
      <c r="A109" s="207"/>
      <c r="B109" s="4"/>
      <c r="C109" s="172" t="s">
        <v>212</v>
      </c>
      <c r="D109" s="173"/>
      <c r="E109" s="174"/>
      <c r="F109" s="183"/>
      <c r="G109" s="113">
        <f t="shared" si="55"/>
        <v>-1725909.2957625238</v>
      </c>
      <c r="H109" s="175">
        <v>-3923.117280400751</v>
      </c>
      <c r="I109" s="175">
        <v>-401330.75284912623</v>
      </c>
      <c r="J109" s="175">
        <v>-97352.139342082315</v>
      </c>
      <c r="K109" s="175">
        <v>-107410.07519291848</v>
      </c>
      <c r="L109" s="175">
        <v>-14642.512902872637</v>
      </c>
      <c r="M109" s="175">
        <v>-52345.235093072901</v>
      </c>
      <c r="N109" s="175">
        <v>-123264.80042554927</v>
      </c>
      <c r="O109" s="175">
        <v>-101010.60787911643</v>
      </c>
      <c r="P109" s="175">
        <v>-134923.63949520187</v>
      </c>
      <c r="Q109" s="175">
        <v>-166468.11586467084</v>
      </c>
      <c r="R109" s="175">
        <v>-59265.136279304628</v>
      </c>
      <c r="S109" s="175">
        <v>-56653.08768163147</v>
      </c>
      <c r="T109" s="175">
        <v>-41847.641671688412</v>
      </c>
      <c r="U109" s="175">
        <v>-102041.77091396844</v>
      </c>
      <c r="V109" s="175">
        <v>-167788.38542172872</v>
      </c>
      <c r="W109" s="175">
        <v>-95642.277469190536</v>
      </c>
      <c r="X109" s="175">
        <v>0</v>
      </c>
      <c r="Y109" s="175"/>
      <c r="Z109" s="175"/>
      <c r="AA109" s="175"/>
      <c r="AB109" s="175">
        <v>0</v>
      </c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</row>
    <row r="110" spans="1:54" s="182" customFormat="1" ht="31.5">
      <c r="A110" s="211"/>
      <c r="B110" s="177"/>
      <c r="C110" s="178" t="s">
        <v>208</v>
      </c>
      <c r="D110" s="179"/>
      <c r="E110" s="180"/>
      <c r="F110" s="183"/>
      <c r="G110" s="152">
        <f t="shared" si="55"/>
        <v>1725909.295762524</v>
      </c>
      <c r="H110" s="181">
        <v>1882.4730768402515</v>
      </c>
      <c r="I110" s="181">
        <v>136329.95566177578</v>
      </c>
      <c r="J110" s="181">
        <v>55317.454979334841</v>
      </c>
      <c r="K110" s="181">
        <v>20838.903729522019</v>
      </c>
      <c r="L110" s="181">
        <v>20221.26813235716</v>
      </c>
      <c r="M110" s="181">
        <v>66561.920555723336</v>
      </c>
      <c r="N110" s="181">
        <v>8875.3211549048428</v>
      </c>
      <c r="O110" s="181">
        <v>130545.45971448603</v>
      </c>
      <c r="P110" s="181">
        <v>267828.85561521677</v>
      </c>
      <c r="Q110" s="181">
        <v>189045.93085736781</v>
      </c>
      <c r="R110" s="181">
        <v>19929.187514817459</v>
      </c>
      <c r="S110" s="181">
        <v>64932.014082373731</v>
      </c>
      <c r="T110" s="181">
        <v>211210.80388406059</v>
      </c>
      <c r="U110" s="181">
        <v>237829.59751041804</v>
      </c>
      <c r="V110" s="181">
        <v>225237.23492017994</v>
      </c>
      <c r="W110" s="181">
        <v>37904.765280056978</v>
      </c>
      <c r="X110" s="181">
        <v>0</v>
      </c>
      <c r="Y110" s="181">
        <v>8616.3832438152676</v>
      </c>
      <c r="Z110" s="181">
        <v>6334.1695160383497</v>
      </c>
      <c r="AA110" s="181">
        <v>16467.596333234687</v>
      </c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</row>
    <row r="111" spans="1:54" s="58" customFormat="1" ht="31.5">
      <c r="A111" s="1"/>
      <c r="B111" s="2"/>
      <c r="C111" s="3" t="s">
        <v>173</v>
      </c>
      <c r="D111" s="59">
        <v>0.25</v>
      </c>
      <c r="E111" s="183">
        <v>981650</v>
      </c>
      <c r="F111" s="183">
        <f t="shared" si="46"/>
        <v>0.48500000033527613</v>
      </c>
      <c r="G111" s="184">
        <f t="shared" ref="G111" si="56">SUBTOTAL(9,G112:G114)</f>
        <v>981649.51499999966</v>
      </c>
      <c r="H111" s="184">
        <f>SUBTOTAL(9,H112:H114)</f>
        <v>11223.789699860343</v>
      </c>
      <c r="I111" s="184">
        <f t="shared" ref="I111:N111" si="57">SUBTOTAL(9,I112:I114)</f>
        <v>91539.650026871503</v>
      </c>
      <c r="J111" s="184">
        <f t="shared" si="57"/>
        <v>7150.8853802432386</v>
      </c>
      <c r="K111" s="184">
        <f t="shared" si="57"/>
        <v>37714.952529222945</v>
      </c>
      <c r="L111" s="184">
        <f t="shared" si="57"/>
        <v>3158.391396235686</v>
      </c>
      <c r="M111" s="184">
        <f t="shared" si="57"/>
        <v>2111.8033320709069</v>
      </c>
      <c r="N111" s="184">
        <f t="shared" si="57"/>
        <v>2245.6832884859414</v>
      </c>
      <c r="O111" s="184">
        <f t="shared" ref="O111" si="58">SUBTOTAL(9,O112:O114)</f>
        <v>73585.203363858309</v>
      </c>
      <c r="P111" s="184">
        <f t="shared" ref="P111" si="59">SUBTOTAL(9,P112:P114)</f>
        <v>91396.871167135701</v>
      </c>
      <c r="Q111" s="184">
        <f t="shared" ref="Q111" si="60">SUBTOTAL(9,Q112:Q114)</f>
        <v>486194.70878247009</v>
      </c>
      <c r="R111" s="184">
        <f t="shared" ref="R111" si="61">SUBTOTAL(9,R112:R114)</f>
        <v>12067.695350857381</v>
      </c>
      <c r="S111" s="184">
        <f t="shared" ref="S111:T111" si="62">SUBTOTAL(9,S112:S114)</f>
        <v>1899.4143301294384</v>
      </c>
      <c r="T111" s="184">
        <f t="shared" si="62"/>
        <v>59658.72132977724</v>
      </c>
      <c r="U111" s="184">
        <f t="shared" ref="U111" si="63">SUBTOTAL(9,U112:U114)</f>
        <v>45721.087221496593</v>
      </c>
      <c r="V111" s="184">
        <f t="shared" ref="V111" si="64">SUBTOTAL(9,V112:V114)</f>
        <v>50908.819302314136</v>
      </c>
      <c r="W111" s="184">
        <f t="shared" ref="W111" si="65">SUBTOTAL(9,W112:W114)</f>
        <v>3120.1581915295114</v>
      </c>
      <c r="X111" s="184">
        <f t="shared" ref="X111" si="66">SUBTOTAL(9,X112:X114)</f>
        <v>0</v>
      </c>
      <c r="Y111" s="184">
        <f t="shared" ref="Y111:Z111" si="67">SUBTOTAL(9,Y112:Y114)</f>
        <v>0</v>
      </c>
      <c r="Z111" s="184">
        <f t="shared" si="67"/>
        <v>466.65603551971105</v>
      </c>
      <c r="AA111" s="184">
        <f t="shared" ref="AA111" si="68">SUBTOTAL(9,AA112:AA114)</f>
        <v>1485.0242719210335</v>
      </c>
      <c r="AB111" s="184">
        <f t="shared" ref="AB111" si="69">SUBTOTAL(9,AB112:AB114)</f>
        <v>0</v>
      </c>
      <c r="AC111" s="184">
        <f t="shared" ref="AC111" si="70">SUBTOTAL(9,AC112:AC114)</f>
        <v>0</v>
      </c>
      <c r="AD111" s="184">
        <f t="shared" ref="AD111" si="71">SUBTOTAL(9,AD112:AD114)</f>
        <v>0</v>
      </c>
      <c r="AE111" s="184">
        <f t="shared" ref="AE111:AF111" si="72">SUBTOTAL(9,AE112:AE114)</f>
        <v>0</v>
      </c>
      <c r="AF111" s="184">
        <f t="shared" si="72"/>
        <v>0</v>
      </c>
      <c r="AG111" s="184">
        <f t="shared" ref="AG111" si="73">SUBTOTAL(9,AG112:AG114)</f>
        <v>0</v>
      </c>
      <c r="AH111" s="184">
        <f t="shared" ref="AH111" si="74">SUBTOTAL(9,AH112:AH114)</f>
        <v>0</v>
      </c>
      <c r="AI111" s="184">
        <f t="shared" ref="AI111" si="75">SUBTOTAL(9,AI112:AI114)</f>
        <v>0</v>
      </c>
      <c r="AJ111" s="184">
        <f t="shared" ref="AJ111" si="76">SUBTOTAL(9,AJ112:AJ114)</f>
        <v>0</v>
      </c>
      <c r="AK111" s="184">
        <f t="shared" ref="AK111:AL111" si="77">SUBTOTAL(9,AK112:AK114)</f>
        <v>0</v>
      </c>
      <c r="AL111" s="184">
        <f t="shared" si="77"/>
        <v>0</v>
      </c>
      <c r="AM111" s="184">
        <f t="shared" ref="AM111" si="78">SUBTOTAL(9,AM112:AM114)</f>
        <v>0</v>
      </c>
      <c r="AN111" s="184">
        <f t="shared" ref="AN111" si="79">SUBTOTAL(9,AN112:AN114)</f>
        <v>0</v>
      </c>
      <c r="AO111" s="184">
        <f t="shared" ref="AO111" si="80">SUBTOTAL(9,AO112:AO114)</f>
        <v>0</v>
      </c>
      <c r="AP111" s="184">
        <f t="shared" ref="AP111" si="81">SUBTOTAL(9,AP112:AP114)</f>
        <v>0</v>
      </c>
      <c r="AQ111" s="184">
        <f t="shared" ref="AQ111:AR111" si="82">SUBTOTAL(9,AQ112:AQ114)</f>
        <v>0</v>
      </c>
      <c r="AR111" s="184">
        <f t="shared" si="82"/>
        <v>0</v>
      </c>
      <c r="AS111" s="184">
        <f t="shared" ref="AS111" si="83">SUBTOTAL(9,AS112:AS114)</f>
        <v>0</v>
      </c>
      <c r="AT111" s="184">
        <f t="shared" ref="AT111" si="84">SUBTOTAL(9,AT112:AT114)</f>
        <v>0</v>
      </c>
      <c r="AU111" s="184">
        <f t="shared" ref="AU111" si="85">SUBTOTAL(9,AU112:AU114)</f>
        <v>0</v>
      </c>
      <c r="AV111" s="184">
        <f t="shared" ref="AV111" si="86">SUBTOTAL(9,AV112:AV114)</f>
        <v>0</v>
      </c>
      <c r="AW111" s="184">
        <f t="shared" ref="AW111:AX111" si="87">SUBTOTAL(9,AW112:AW114)</f>
        <v>0</v>
      </c>
      <c r="AX111" s="184">
        <f t="shared" si="87"/>
        <v>0</v>
      </c>
      <c r="AY111" s="184">
        <f t="shared" ref="AY111" si="88">SUBTOTAL(9,AY112:AY114)</f>
        <v>0</v>
      </c>
      <c r="AZ111" s="184">
        <f t="shared" ref="AZ111" si="89">SUBTOTAL(9,AZ112:AZ114)</f>
        <v>0</v>
      </c>
      <c r="BA111" s="184">
        <f t="shared" ref="BA111" si="90">SUBTOTAL(9,BA112:BA114)</f>
        <v>0</v>
      </c>
      <c r="BB111" s="184">
        <f t="shared" ref="BB111" si="91">SUBTOTAL(9,BB112:BB114)</f>
        <v>0</v>
      </c>
    </row>
    <row r="112" spans="1:54" s="176" customFormat="1" ht="15.75">
      <c r="A112" s="207"/>
      <c r="B112" s="4"/>
      <c r="C112" s="172" t="s">
        <v>209</v>
      </c>
      <c r="D112" s="173"/>
      <c r="E112" s="174"/>
      <c r="F112" s="183"/>
      <c r="G112" s="113">
        <f t="shared" si="55"/>
        <v>981649.51499999978</v>
      </c>
      <c r="H112" s="175">
        <v>12169.080000000004</v>
      </c>
      <c r="I112" s="175">
        <v>89658.954000000012</v>
      </c>
      <c r="J112" s="175">
        <v>6663.8880000000008</v>
      </c>
      <c r="K112" s="175">
        <v>43186.605000000003</v>
      </c>
      <c r="L112" s="175">
        <v>0</v>
      </c>
      <c r="M112" s="175">
        <v>0</v>
      </c>
      <c r="N112" s="175">
        <v>0</v>
      </c>
      <c r="O112" s="175">
        <v>64601.460000000014</v>
      </c>
      <c r="P112" s="175">
        <v>91727.328000000023</v>
      </c>
      <c r="Q112" s="175">
        <v>500533.10999999975</v>
      </c>
      <c r="R112" s="175">
        <v>10803.407999999999</v>
      </c>
      <c r="S112" s="175">
        <v>471.24</v>
      </c>
      <c r="T112" s="175">
        <v>61270.44</v>
      </c>
      <c r="U112" s="175">
        <v>47018.66399999999</v>
      </c>
      <c r="V112" s="175">
        <v>50773.338000000003</v>
      </c>
      <c r="W112" s="175">
        <v>2771.9999999999991</v>
      </c>
      <c r="X112" s="175">
        <v>0</v>
      </c>
      <c r="Y112" s="175">
        <v>0</v>
      </c>
      <c r="Z112" s="175">
        <v>0</v>
      </c>
      <c r="AA112" s="175">
        <v>0</v>
      </c>
      <c r="AB112" s="175">
        <v>0</v>
      </c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</row>
    <row r="113" spans="1:54" s="176" customFormat="1" ht="47.25">
      <c r="A113" s="207"/>
      <c r="B113" s="4"/>
      <c r="C113" s="172" t="s">
        <v>212</v>
      </c>
      <c r="D113" s="173"/>
      <c r="E113" s="174"/>
      <c r="F113" s="183"/>
      <c r="G113" s="113">
        <f t="shared" si="55"/>
        <v>-42482.496299105696</v>
      </c>
      <c r="H113" s="175">
        <v>-1073.8859205776171</v>
      </c>
      <c r="I113" s="175">
        <v>-2138.4675667664415</v>
      </c>
      <c r="J113" s="175">
        <v>-46.82346401985069</v>
      </c>
      <c r="K113" s="175">
        <v>-5654.6234137036517</v>
      </c>
      <c r="L113" s="175">
        <v>0</v>
      </c>
      <c r="M113" s="175">
        <v>0</v>
      </c>
      <c r="N113" s="175">
        <v>0</v>
      </c>
      <c r="O113" s="175">
        <v>-2260.3136136422618</v>
      </c>
      <c r="P113" s="175">
        <v>-4946.9195667662134</v>
      </c>
      <c r="Q113" s="175">
        <v>-15279.86976382602</v>
      </c>
      <c r="R113" s="175">
        <v>-337.74579752916725</v>
      </c>
      <c r="S113" s="175">
        <v>-11.747958865690237</v>
      </c>
      <c r="T113" s="175">
        <v>-4033.9558629873209</v>
      </c>
      <c r="U113" s="175">
        <v>-3764.4394400615929</v>
      </c>
      <c r="V113" s="175">
        <v>-2828.296876022403</v>
      </c>
      <c r="W113" s="175">
        <v>-105.40705433746416</v>
      </c>
      <c r="X113" s="175">
        <v>0</v>
      </c>
      <c r="Y113" s="175">
        <v>0</v>
      </c>
      <c r="Z113" s="175">
        <v>0</v>
      </c>
      <c r="AA113" s="175">
        <v>0</v>
      </c>
      <c r="AB113" s="175">
        <v>0</v>
      </c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</row>
    <row r="114" spans="1:54" s="182" customFormat="1" ht="31.5">
      <c r="A114" s="211"/>
      <c r="B114" s="177"/>
      <c r="C114" s="178" t="s">
        <v>208</v>
      </c>
      <c r="D114" s="179"/>
      <c r="E114" s="180"/>
      <c r="F114" s="183"/>
      <c r="G114" s="152">
        <f t="shared" si="55"/>
        <v>42482.496299105602</v>
      </c>
      <c r="H114" s="181">
        <v>128.59562043795631</v>
      </c>
      <c r="I114" s="181">
        <v>4019.1635936379316</v>
      </c>
      <c r="J114" s="181">
        <v>533.82084426308847</v>
      </c>
      <c r="K114" s="181">
        <v>182.97094292659312</v>
      </c>
      <c r="L114" s="181">
        <v>3158.391396235686</v>
      </c>
      <c r="M114" s="181">
        <v>2111.8033320709069</v>
      </c>
      <c r="N114" s="181">
        <v>2245.6832884859414</v>
      </c>
      <c r="O114" s="181">
        <v>11244.056977500557</v>
      </c>
      <c r="P114" s="181">
        <v>4616.4627339018916</v>
      </c>
      <c r="Q114" s="181">
        <v>941.46854629635345</v>
      </c>
      <c r="R114" s="181">
        <v>1602.0331483865484</v>
      </c>
      <c r="S114" s="181">
        <v>1439.9222889951286</v>
      </c>
      <c r="T114" s="181">
        <v>2422.2371927645581</v>
      </c>
      <c r="U114" s="181">
        <v>2466.8626615581961</v>
      </c>
      <c r="V114" s="181">
        <v>2963.7781783365353</v>
      </c>
      <c r="W114" s="181">
        <v>453.56524586697651</v>
      </c>
      <c r="X114" s="181">
        <v>0</v>
      </c>
      <c r="Y114" s="181">
        <v>0</v>
      </c>
      <c r="Z114" s="181">
        <v>466.65603551971105</v>
      </c>
      <c r="AA114" s="181">
        <v>1485.0242719210335</v>
      </c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</row>
    <row r="115" spans="1:54" s="58" customFormat="1" ht="31.5">
      <c r="A115" s="33"/>
      <c r="B115" s="171"/>
      <c r="C115" s="3" t="s">
        <v>170</v>
      </c>
      <c r="D115" s="59">
        <v>0.25</v>
      </c>
      <c r="E115" s="183">
        <v>1415772</v>
      </c>
      <c r="F115" s="183">
        <f t="shared" si="46"/>
        <v>0.48900000005960464</v>
      </c>
      <c r="G115" s="184">
        <f t="shared" si="52"/>
        <v>1415771.5109999999</v>
      </c>
      <c r="H115" s="184">
        <v>58988.159999999996</v>
      </c>
      <c r="I115" s="184">
        <v>86000.607000000018</v>
      </c>
      <c r="J115" s="184">
        <v>112691.04000000001</v>
      </c>
      <c r="K115" s="184">
        <v>115381.45079999998</v>
      </c>
      <c r="L115" s="184">
        <v>0</v>
      </c>
      <c r="M115" s="184">
        <v>36250.367999999988</v>
      </c>
      <c r="N115" s="184">
        <v>66207.140999999974</v>
      </c>
      <c r="O115" s="184">
        <v>236733.65099999998</v>
      </c>
      <c r="P115" s="184">
        <v>46676.784</v>
      </c>
      <c r="Q115" s="184">
        <v>122032.44900000002</v>
      </c>
      <c r="R115" s="184">
        <v>42023.058000000005</v>
      </c>
      <c r="S115" s="184">
        <v>19917.744000000002</v>
      </c>
      <c r="T115" s="184">
        <v>89467.364000000001</v>
      </c>
      <c r="U115" s="184">
        <v>217054.52999999997</v>
      </c>
      <c r="V115" s="184">
        <v>91551.998999999996</v>
      </c>
      <c r="W115" s="184">
        <v>70300.23</v>
      </c>
      <c r="X115" s="184">
        <v>0</v>
      </c>
      <c r="Y115" s="184">
        <v>0</v>
      </c>
      <c r="Z115" s="184">
        <v>1704.6399999999996</v>
      </c>
      <c r="AA115" s="184">
        <v>2790.2951999999996</v>
      </c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</row>
    <row r="116" spans="1:54" s="58" customFormat="1" ht="47.25">
      <c r="A116" s="33"/>
      <c r="B116" s="185"/>
      <c r="C116" s="3" t="s">
        <v>214</v>
      </c>
      <c r="D116" s="59">
        <v>0.25</v>
      </c>
      <c r="E116" s="183">
        <v>531440</v>
      </c>
      <c r="F116" s="183">
        <f t="shared" si="46"/>
        <v>62829</v>
      </c>
      <c r="G116" s="184">
        <f t="shared" ref="G116" si="92">SUBTOTAL(9,G117:G119)</f>
        <v>468611</v>
      </c>
      <c r="H116" s="184">
        <f>SUBTOTAL(9,H117:H119)</f>
        <v>36123.562175972475</v>
      </c>
      <c r="I116" s="184">
        <f t="shared" ref="I116:BB116" si="93">SUBTOTAL(9,I117:I119)</f>
        <v>15842.640832491399</v>
      </c>
      <c r="J116" s="184">
        <f t="shared" si="93"/>
        <v>12442.075445634029</v>
      </c>
      <c r="K116" s="184">
        <f t="shared" si="93"/>
        <v>18241.057859594061</v>
      </c>
      <c r="L116" s="184">
        <f t="shared" si="93"/>
        <v>805.05979060428194</v>
      </c>
      <c r="M116" s="184">
        <f t="shared" si="93"/>
        <v>154.79565434015947</v>
      </c>
      <c r="N116" s="184">
        <f t="shared" si="93"/>
        <v>0</v>
      </c>
      <c r="O116" s="184">
        <f t="shared" si="93"/>
        <v>20690.64694317344</v>
      </c>
      <c r="P116" s="184">
        <f t="shared" si="93"/>
        <v>24666.850166849468</v>
      </c>
      <c r="Q116" s="184">
        <f t="shared" si="93"/>
        <v>63414.708589701215</v>
      </c>
      <c r="R116" s="184">
        <f t="shared" si="93"/>
        <v>42882.579432853017</v>
      </c>
      <c r="S116" s="184">
        <f t="shared" si="93"/>
        <v>1436.005186113463</v>
      </c>
      <c r="T116" s="184">
        <f t="shared" si="93"/>
        <v>1991.5840313788647</v>
      </c>
      <c r="U116" s="184">
        <f t="shared" si="93"/>
        <v>6800.5421298712263</v>
      </c>
      <c r="V116" s="184">
        <f t="shared" si="93"/>
        <v>37085.912488297094</v>
      </c>
      <c r="W116" s="184">
        <f t="shared" si="93"/>
        <v>0</v>
      </c>
      <c r="X116" s="184">
        <f t="shared" si="93"/>
        <v>0</v>
      </c>
      <c r="Y116" s="184">
        <f t="shared" si="93"/>
        <v>291.979273125796</v>
      </c>
      <c r="Z116" s="184">
        <f t="shared" si="93"/>
        <v>0</v>
      </c>
      <c r="AA116" s="184">
        <f t="shared" si="93"/>
        <v>0</v>
      </c>
      <c r="AB116" s="184">
        <f t="shared" si="93"/>
        <v>0</v>
      </c>
      <c r="AC116" s="184">
        <f t="shared" si="93"/>
        <v>0</v>
      </c>
      <c r="AD116" s="184">
        <f t="shared" si="93"/>
        <v>0</v>
      </c>
      <c r="AE116" s="184">
        <f t="shared" si="93"/>
        <v>0</v>
      </c>
      <c r="AF116" s="184">
        <f t="shared" si="93"/>
        <v>0</v>
      </c>
      <c r="AG116" s="184">
        <f t="shared" si="93"/>
        <v>0</v>
      </c>
      <c r="AH116" s="184">
        <f t="shared" si="93"/>
        <v>0</v>
      </c>
      <c r="AI116" s="184">
        <f t="shared" si="93"/>
        <v>0</v>
      </c>
      <c r="AJ116" s="184">
        <f t="shared" si="93"/>
        <v>0</v>
      </c>
      <c r="AK116" s="184">
        <f t="shared" si="93"/>
        <v>0</v>
      </c>
      <c r="AL116" s="184">
        <f t="shared" si="93"/>
        <v>0</v>
      </c>
      <c r="AM116" s="184">
        <f t="shared" si="93"/>
        <v>0</v>
      </c>
      <c r="AN116" s="184">
        <f t="shared" si="93"/>
        <v>0</v>
      </c>
      <c r="AO116" s="184">
        <f t="shared" si="93"/>
        <v>0</v>
      </c>
      <c r="AP116" s="184">
        <f t="shared" si="93"/>
        <v>0</v>
      </c>
      <c r="AQ116" s="184">
        <f t="shared" si="93"/>
        <v>0</v>
      </c>
      <c r="AR116" s="184">
        <f t="shared" si="93"/>
        <v>0</v>
      </c>
      <c r="AS116" s="184">
        <f t="shared" si="93"/>
        <v>0</v>
      </c>
      <c r="AT116" s="184">
        <f t="shared" si="93"/>
        <v>0</v>
      </c>
      <c r="AU116" s="184">
        <f t="shared" si="93"/>
        <v>0</v>
      </c>
      <c r="AV116" s="184">
        <f t="shared" si="93"/>
        <v>0</v>
      </c>
      <c r="AW116" s="184">
        <f t="shared" si="93"/>
        <v>0</v>
      </c>
      <c r="AX116" s="184">
        <f t="shared" si="93"/>
        <v>0</v>
      </c>
      <c r="AY116" s="184">
        <f t="shared" si="93"/>
        <v>0</v>
      </c>
      <c r="AZ116" s="184">
        <f t="shared" si="93"/>
        <v>0</v>
      </c>
      <c r="BA116" s="184">
        <f t="shared" si="93"/>
        <v>0</v>
      </c>
      <c r="BB116" s="184">
        <f t="shared" si="93"/>
        <v>185741</v>
      </c>
    </row>
    <row r="117" spans="1:54" s="58" customFormat="1" ht="15.75">
      <c r="A117" s="33"/>
      <c r="B117" s="185"/>
      <c r="C117" s="172" t="s">
        <v>209</v>
      </c>
      <c r="D117" s="173"/>
      <c r="E117" s="174"/>
      <c r="F117" s="183"/>
      <c r="G117" s="113">
        <f t="shared" ref="G117:G119" si="94">SUM(H117:BB117)</f>
        <v>468611</v>
      </c>
      <c r="H117" s="113">
        <v>37200</v>
      </c>
      <c r="I117" s="113">
        <v>20670</v>
      </c>
      <c r="J117" s="113">
        <v>10070.000000000002</v>
      </c>
      <c r="K117" s="113">
        <v>31090.000000000004</v>
      </c>
      <c r="L117" s="113">
        <v>0</v>
      </c>
      <c r="M117" s="113">
        <v>0</v>
      </c>
      <c r="N117" s="113">
        <v>0</v>
      </c>
      <c r="O117" s="113">
        <v>21100</v>
      </c>
      <c r="P117" s="113">
        <v>16800</v>
      </c>
      <c r="Q117" s="113">
        <v>62089.999999999993</v>
      </c>
      <c r="R117" s="113">
        <v>45050</v>
      </c>
      <c r="S117" s="113">
        <v>0</v>
      </c>
      <c r="T117" s="113">
        <v>0</v>
      </c>
      <c r="U117" s="113">
        <v>0</v>
      </c>
      <c r="V117" s="113">
        <v>38800</v>
      </c>
      <c r="W117" s="113">
        <v>0</v>
      </c>
      <c r="X117" s="113">
        <v>0</v>
      </c>
      <c r="Y117" s="113">
        <v>0</v>
      </c>
      <c r="Z117" s="113">
        <v>0</v>
      </c>
      <c r="AA117" s="113">
        <v>0</v>
      </c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>
        <v>185741</v>
      </c>
    </row>
    <row r="118" spans="1:54" s="58" customFormat="1" ht="47.25">
      <c r="A118" s="33"/>
      <c r="B118" s="185"/>
      <c r="C118" s="172" t="s">
        <v>212</v>
      </c>
      <c r="D118" s="173"/>
      <c r="E118" s="174"/>
      <c r="F118" s="183"/>
      <c r="G118" s="113">
        <f t="shared" si="94"/>
        <v>-39877.656882505566</v>
      </c>
      <c r="H118" s="113">
        <v>-1196.7731584928988</v>
      </c>
      <c r="I118" s="113">
        <v>-7863.1784982925965</v>
      </c>
      <c r="J118" s="113">
        <v>-4226.9135802469154</v>
      </c>
      <c r="K118" s="113">
        <v>-13053.247564558955</v>
      </c>
      <c r="L118" s="113">
        <v>0</v>
      </c>
      <c r="M118" s="113">
        <v>0</v>
      </c>
      <c r="N118" s="113">
        <v>0</v>
      </c>
      <c r="O118" s="113">
        <v>-3131.8205249568819</v>
      </c>
      <c r="P118" s="113">
        <v>-1970.067316665627</v>
      </c>
      <c r="Q118" s="113">
        <v>-1107.6325872639572</v>
      </c>
      <c r="R118" s="113">
        <v>-2167.4205671469826</v>
      </c>
      <c r="S118" s="113">
        <v>0</v>
      </c>
      <c r="T118" s="113">
        <v>0</v>
      </c>
      <c r="U118" s="113">
        <v>0</v>
      </c>
      <c r="V118" s="113">
        <v>-5160.6030848807495</v>
      </c>
      <c r="W118" s="113">
        <v>0</v>
      </c>
      <c r="X118" s="113">
        <v>0</v>
      </c>
      <c r="Y118" s="113">
        <v>0</v>
      </c>
      <c r="Z118" s="113">
        <v>0</v>
      </c>
      <c r="AA118" s="113">
        <v>0</v>
      </c>
      <c r="AB118" s="113">
        <v>0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</row>
    <row r="119" spans="1:54" s="58" customFormat="1" ht="31.5">
      <c r="A119" s="33"/>
      <c r="B119" s="185"/>
      <c r="C119" s="178" t="s">
        <v>208</v>
      </c>
      <c r="D119" s="179"/>
      <c r="E119" s="180"/>
      <c r="F119" s="183"/>
      <c r="G119" s="152">
        <f t="shared" si="94"/>
        <v>39877.656882505558</v>
      </c>
      <c r="H119" s="152">
        <v>120.33533446537331</v>
      </c>
      <c r="I119" s="152">
        <v>3035.8193307839956</v>
      </c>
      <c r="J119" s="152">
        <v>6598.9890258809428</v>
      </c>
      <c r="K119" s="152">
        <v>204.3054241530117</v>
      </c>
      <c r="L119" s="152">
        <v>805.05979060428194</v>
      </c>
      <c r="M119" s="152">
        <v>154.79565434015947</v>
      </c>
      <c r="N119" s="152">
        <v>0</v>
      </c>
      <c r="O119" s="152">
        <v>2722.4674681303222</v>
      </c>
      <c r="P119" s="152">
        <v>9836.9174835150952</v>
      </c>
      <c r="Q119" s="152">
        <v>2432.3411769651793</v>
      </c>
      <c r="R119" s="152">
        <v>0</v>
      </c>
      <c r="S119" s="152">
        <v>1436.005186113463</v>
      </c>
      <c r="T119" s="152">
        <v>1991.5840313788647</v>
      </c>
      <c r="U119" s="152">
        <v>6800.5421298712263</v>
      </c>
      <c r="V119" s="152">
        <v>3446.5155731778432</v>
      </c>
      <c r="W119" s="152">
        <v>0</v>
      </c>
      <c r="X119" s="152">
        <v>0</v>
      </c>
      <c r="Y119" s="152">
        <v>291.979273125796</v>
      </c>
      <c r="Z119" s="152">
        <v>0</v>
      </c>
      <c r="AA119" s="152">
        <v>0</v>
      </c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</row>
    <row r="120" spans="1:54" s="58" customFormat="1" ht="47.25">
      <c r="A120" s="33"/>
      <c r="B120" s="185"/>
      <c r="C120" s="3" t="s">
        <v>215</v>
      </c>
      <c r="D120" s="59">
        <v>0.25</v>
      </c>
      <c r="E120" s="183"/>
      <c r="F120" s="183">
        <f t="shared" si="46"/>
        <v>-62829.999999999993</v>
      </c>
      <c r="G120" s="184">
        <f t="shared" ref="G120" si="95">SUBTOTAL(9,G121:G123)</f>
        <v>62829.999999999993</v>
      </c>
      <c r="H120" s="184">
        <f>SUBTOTAL(9,H121:H123)</f>
        <v>9846.9314079422384</v>
      </c>
      <c r="I120" s="184">
        <f t="shared" ref="I120:BB120" si="96">SUBTOTAL(9,I121:I123)</f>
        <v>1109.7170339922141</v>
      </c>
      <c r="J120" s="184">
        <f t="shared" si="96"/>
        <v>0</v>
      </c>
      <c r="K120" s="184">
        <f t="shared" si="96"/>
        <v>0</v>
      </c>
      <c r="L120" s="184">
        <f t="shared" si="96"/>
        <v>36.815016651528914</v>
      </c>
      <c r="M120" s="184">
        <f t="shared" si="96"/>
        <v>173.2851985559567</v>
      </c>
      <c r="N120" s="184">
        <f t="shared" si="96"/>
        <v>0</v>
      </c>
      <c r="O120" s="184">
        <f t="shared" si="96"/>
        <v>15663.52539316482</v>
      </c>
      <c r="P120" s="184">
        <f t="shared" si="96"/>
        <v>6180</v>
      </c>
      <c r="Q120" s="184">
        <f t="shared" si="96"/>
        <v>15031.453239525734</v>
      </c>
      <c r="R120" s="184">
        <f t="shared" si="96"/>
        <v>1547.0270270270271</v>
      </c>
      <c r="S120" s="184">
        <f t="shared" si="96"/>
        <v>639.99316429197029</v>
      </c>
      <c r="T120" s="184">
        <f t="shared" si="96"/>
        <v>0</v>
      </c>
      <c r="U120" s="184">
        <f t="shared" si="96"/>
        <v>116.83066207642715</v>
      </c>
      <c r="V120" s="184">
        <f t="shared" si="96"/>
        <v>12372.190967998704</v>
      </c>
      <c r="W120" s="184">
        <f t="shared" si="96"/>
        <v>0</v>
      </c>
      <c r="X120" s="184">
        <f t="shared" si="96"/>
        <v>0</v>
      </c>
      <c r="Y120" s="184">
        <f t="shared" si="96"/>
        <v>0</v>
      </c>
      <c r="Z120" s="184">
        <f t="shared" si="96"/>
        <v>112.23088877337926</v>
      </c>
      <c r="AA120" s="184">
        <f t="shared" si="96"/>
        <v>0</v>
      </c>
      <c r="AB120" s="184">
        <f t="shared" si="96"/>
        <v>0</v>
      </c>
      <c r="AC120" s="184">
        <f t="shared" si="96"/>
        <v>0</v>
      </c>
      <c r="AD120" s="184">
        <f t="shared" si="96"/>
        <v>0</v>
      </c>
      <c r="AE120" s="184">
        <f t="shared" si="96"/>
        <v>0</v>
      </c>
      <c r="AF120" s="184">
        <f t="shared" si="96"/>
        <v>0</v>
      </c>
      <c r="AG120" s="184">
        <f t="shared" si="96"/>
        <v>0</v>
      </c>
      <c r="AH120" s="184">
        <f t="shared" si="96"/>
        <v>0</v>
      </c>
      <c r="AI120" s="184">
        <f t="shared" si="96"/>
        <v>0</v>
      </c>
      <c r="AJ120" s="184">
        <f t="shared" si="96"/>
        <v>0</v>
      </c>
      <c r="AK120" s="184">
        <f t="shared" si="96"/>
        <v>0</v>
      </c>
      <c r="AL120" s="184">
        <f t="shared" si="96"/>
        <v>0</v>
      </c>
      <c r="AM120" s="184">
        <f t="shared" si="96"/>
        <v>0</v>
      </c>
      <c r="AN120" s="184">
        <f t="shared" si="96"/>
        <v>0</v>
      </c>
      <c r="AO120" s="184">
        <f t="shared" si="96"/>
        <v>0</v>
      </c>
      <c r="AP120" s="184">
        <f t="shared" si="96"/>
        <v>0</v>
      </c>
      <c r="AQ120" s="184">
        <f t="shared" si="96"/>
        <v>0</v>
      </c>
      <c r="AR120" s="184">
        <f t="shared" si="96"/>
        <v>0</v>
      </c>
      <c r="AS120" s="184">
        <f t="shared" si="96"/>
        <v>0</v>
      </c>
      <c r="AT120" s="184">
        <f t="shared" si="96"/>
        <v>0</v>
      </c>
      <c r="AU120" s="184">
        <f t="shared" si="96"/>
        <v>0</v>
      </c>
      <c r="AV120" s="184">
        <f t="shared" si="96"/>
        <v>0</v>
      </c>
      <c r="AW120" s="184">
        <f t="shared" si="96"/>
        <v>0</v>
      </c>
      <c r="AX120" s="184">
        <f t="shared" si="96"/>
        <v>0</v>
      </c>
      <c r="AY120" s="184">
        <f t="shared" si="96"/>
        <v>0</v>
      </c>
      <c r="AZ120" s="184">
        <f t="shared" si="96"/>
        <v>0</v>
      </c>
      <c r="BA120" s="184">
        <f t="shared" si="96"/>
        <v>0</v>
      </c>
      <c r="BB120" s="184">
        <f t="shared" si="96"/>
        <v>0</v>
      </c>
    </row>
    <row r="121" spans="1:54" s="58" customFormat="1" ht="15.75">
      <c r="A121" s="33"/>
      <c r="B121" s="185"/>
      <c r="C121" s="172" t="s">
        <v>209</v>
      </c>
      <c r="D121" s="173"/>
      <c r="E121" s="174"/>
      <c r="F121" s="183"/>
      <c r="G121" s="113">
        <f t="shared" ref="G121:G123" si="97">SUM(H121:BB121)</f>
        <v>62830</v>
      </c>
      <c r="H121" s="113">
        <v>10800.000000000002</v>
      </c>
      <c r="I121" s="113">
        <v>530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  <c r="O121" s="113">
        <v>16000.000000000002</v>
      </c>
      <c r="P121" s="113">
        <v>6180</v>
      </c>
      <c r="Q121" s="113">
        <v>14880</v>
      </c>
      <c r="R121" s="113">
        <v>1590</v>
      </c>
      <c r="S121" s="113">
        <v>0</v>
      </c>
      <c r="T121" s="113">
        <v>0</v>
      </c>
      <c r="U121" s="113">
        <v>0</v>
      </c>
      <c r="V121" s="113">
        <v>12849.999999999998</v>
      </c>
      <c r="W121" s="113">
        <v>0</v>
      </c>
      <c r="X121" s="113">
        <v>0</v>
      </c>
      <c r="Y121" s="113">
        <v>0</v>
      </c>
      <c r="Z121" s="113">
        <v>0</v>
      </c>
      <c r="AA121" s="113">
        <v>0</v>
      </c>
      <c r="AB121" s="113">
        <v>0</v>
      </c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</row>
    <row r="122" spans="1:54" s="58" customFormat="1" ht="47.25">
      <c r="A122" s="33"/>
      <c r="B122" s="185"/>
      <c r="C122" s="172" t="s">
        <v>212</v>
      </c>
      <c r="D122" s="173"/>
      <c r="E122" s="174"/>
      <c r="F122" s="183"/>
      <c r="G122" s="113">
        <f t="shared" si="97"/>
        <v>-2281.3264832515465</v>
      </c>
      <c r="H122" s="113">
        <v>-953.06859205776345</v>
      </c>
      <c r="I122" s="113">
        <v>0</v>
      </c>
      <c r="J122" s="113">
        <v>0</v>
      </c>
      <c r="K122" s="113">
        <v>0</v>
      </c>
      <c r="L122" s="113">
        <v>0</v>
      </c>
      <c r="M122" s="113">
        <v>0</v>
      </c>
      <c r="N122" s="113">
        <v>0</v>
      </c>
      <c r="O122" s="113">
        <v>-543.60596768693176</v>
      </c>
      <c r="P122" s="113">
        <v>0</v>
      </c>
      <c r="Q122" s="113">
        <v>-19.631360851750287</v>
      </c>
      <c r="R122" s="113">
        <v>-42.972972972972912</v>
      </c>
      <c r="S122" s="113">
        <v>0</v>
      </c>
      <c r="T122" s="113">
        <v>0</v>
      </c>
      <c r="U122" s="113">
        <v>0</v>
      </c>
      <c r="V122" s="113">
        <v>-722.04758968212809</v>
      </c>
      <c r="W122" s="113">
        <v>0</v>
      </c>
      <c r="X122" s="113">
        <v>0</v>
      </c>
      <c r="Y122" s="113">
        <v>0</v>
      </c>
      <c r="Z122" s="113">
        <v>0</v>
      </c>
      <c r="AA122" s="113">
        <v>0</v>
      </c>
      <c r="AB122" s="113">
        <v>0</v>
      </c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</row>
    <row r="123" spans="1:54" s="58" customFormat="1" ht="31.5">
      <c r="A123" s="33"/>
      <c r="B123" s="185"/>
      <c r="C123" s="178" t="s">
        <v>208</v>
      </c>
      <c r="D123" s="179"/>
      <c r="E123" s="180"/>
      <c r="F123" s="183"/>
      <c r="G123" s="152">
        <f t="shared" si="97"/>
        <v>2281.3264832515447</v>
      </c>
      <c r="H123" s="152">
        <v>0</v>
      </c>
      <c r="I123" s="152">
        <v>579.71703399221406</v>
      </c>
      <c r="J123" s="152">
        <v>0</v>
      </c>
      <c r="K123" s="152">
        <v>0</v>
      </c>
      <c r="L123" s="152">
        <v>36.815016651528914</v>
      </c>
      <c r="M123" s="152">
        <v>173.2851985559567</v>
      </c>
      <c r="N123" s="152">
        <v>0</v>
      </c>
      <c r="O123" s="152">
        <v>207.13136085175029</v>
      </c>
      <c r="P123" s="152">
        <v>0</v>
      </c>
      <c r="Q123" s="152">
        <v>171.08460037748409</v>
      </c>
      <c r="R123" s="152">
        <v>0</v>
      </c>
      <c r="S123" s="152">
        <v>639.99316429197029</v>
      </c>
      <c r="T123" s="152">
        <v>0</v>
      </c>
      <c r="U123" s="152">
        <v>116.83066207642715</v>
      </c>
      <c r="V123" s="152">
        <v>244.23855768083376</v>
      </c>
      <c r="W123" s="152">
        <v>0</v>
      </c>
      <c r="X123" s="152">
        <v>0</v>
      </c>
      <c r="Y123" s="152">
        <v>0</v>
      </c>
      <c r="Z123" s="152">
        <v>112.23088877337926</v>
      </c>
      <c r="AA123" s="152">
        <v>0</v>
      </c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</row>
    <row r="124" spans="1:54" s="58" customFormat="1" ht="31.5">
      <c r="A124" s="33"/>
      <c r="B124" s="185"/>
      <c r="C124" s="5" t="s">
        <v>213</v>
      </c>
      <c r="D124" s="76">
        <v>0</v>
      </c>
      <c r="E124" s="155">
        <v>13757823</v>
      </c>
      <c r="F124" s="183">
        <f t="shared" si="46"/>
        <v>0</v>
      </c>
      <c r="G124" s="113">
        <f t="shared" si="52"/>
        <v>13757823</v>
      </c>
      <c r="H124" s="184">
        <v>238056</v>
      </c>
      <c r="I124" s="184">
        <v>1036020</v>
      </c>
      <c r="J124" s="184">
        <v>697464</v>
      </c>
      <c r="K124" s="184">
        <v>626268</v>
      </c>
      <c r="L124" s="184">
        <f>248376+487080</f>
        <v>735456</v>
      </c>
      <c r="M124" s="184">
        <v>456072</v>
      </c>
      <c r="N124" s="184">
        <v>361920</v>
      </c>
      <c r="O124" s="184">
        <v>1001628</v>
      </c>
      <c r="P124" s="184">
        <v>1553820</v>
      </c>
      <c r="Q124" s="184">
        <v>1158852</v>
      </c>
      <c r="R124" s="184">
        <v>668304</v>
      </c>
      <c r="S124" s="184">
        <v>343728</v>
      </c>
      <c r="T124" s="184">
        <v>1077252</v>
      </c>
      <c r="U124" s="184">
        <v>1368000</v>
      </c>
      <c r="V124" s="184">
        <v>973488</v>
      </c>
      <c r="W124" s="184">
        <v>739332</v>
      </c>
      <c r="X124" s="184">
        <v>179208</v>
      </c>
      <c r="Y124" s="184">
        <v>143808</v>
      </c>
      <c r="Z124" s="184">
        <v>173748</v>
      </c>
      <c r="AA124" s="184">
        <v>72528</v>
      </c>
      <c r="AB124" s="184"/>
      <c r="AC124" s="184"/>
      <c r="AD124" s="184"/>
      <c r="AE124" s="184"/>
      <c r="AF124" s="184"/>
      <c r="AG124" s="184"/>
      <c r="AH124" s="184"/>
      <c r="AI124" s="184">
        <v>152871</v>
      </c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</row>
    <row r="125" spans="1:54" s="58" customFormat="1" ht="31.5">
      <c r="A125" s="33"/>
      <c r="B125" s="188"/>
      <c r="C125" s="3" t="s">
        <v>174</v>
      </c>
      <c r="D125" s="76">
        <v>0</v>
      </c>
      <c r="E125" s="183">
        <v>293251</v>
      </c>
      <c r="F125" s="183">
        <f t="shared" si="46"/>
        <v>0</v>
      </c>
      <c r="G125" s="184">
        <f t="shared" si="52"/>
        <v>293251</v>
      </c>
      <c r="H125" s="184"/>
      <c r="I125" s="184"/>
      <c r="J125" s="184"/>
      <c r="K125" s="184">
        <v>39948</v>
      </c>
      <c r="L125" s="184"/>
      <c r="M125" s="184"/>
      <c r="N125" s="184"/>
      <c r="O125" s="184">
        <v>52422</v>
      </c>
      <c r="P125" s="184">
        <v>200881</v>
      </c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</row>
    <row r="126" spans="1:54" s="58" customFormat="1" ht="31.5">
      <c r="A126" s="33"/>
      <c r="B126" s="188"/>
      <c r="C126" s="3" t="s">
        <v>140</v>
      </c>
      <c r="D126" s="76">
        <v>0</v>
      </c>
      <c r="E126" s="183">
        <v>3411787</v>
      </c>
      <c r="F126" s="183">
        <f t="shared" si="46"/>
        <v>0</v>
      </c>
      <c r="G126" s="205">
        <f t="shared" si="52"/>
        <v>3411787</v>
      </c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>
        <f>3686524-274737</f>
        <v>3411787</v>
      </c>
    </row>
    <row r="127" spans="1:54" s="58" customFormat="1" ht="31.5">
      <c r="A127" s="33"/>
      <c r="B127" s="188"/>
      <c r="C127" s="3" t="s">
        <v>64</v>
      </c>
      <c r="D127" s="76">
        <v>0</v>
      </c>
      <c r="E127" s="183">
        <v>1165826</v>
      </c>
      <c r="F127" s="183">
        <f t="shared" si="46"/>
        <v>0</v>
      </c>
      <c r="G127" s="184">
        <f t="shared" si="52"/>
        <v>1165826</v>
      </c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>
        <v>408039</v>
      </c>
      <c r="AV127" s="184"/>
      <c r="AW127" s="184"/>
      <c r="AX127" s="184">
        <v>757787</v>
      </c>
      <c r="AY127" s="184"/>
      <c r="AZ127" s="184"/>
      <c r="BA127" s="184"/>
      <c r="BB127" s="184"/>
    </row>
    <row r="128" spans="1:54" s="58" customFormat="1" ht="15.75">
      <c r="A128" s="33"/>
      <c r="B128" s="188"/>
      <c r="C128" s="3" t="s">
        <v>1</v>
      </c>
      <c r="D128" s="76">
        <v>0</v>
      </c>
      <c r="E128" s="183">
        <v>9822083</v>
      </c>
      <c r="F128" s="183">
        <f t="shared" si="46"/>
        <v>0</v>
      </c>
      <c r="G128" s="184">
        <f t="shared" si="52"/>
        <v>9822083</v>
      </c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>
        <v>9822083</v>
      </c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</row>
    <row r="129" spans="1:54" s="58" customFormat="1" ht="15.75">
      <c r="A129" s="33"/>
      <c r="B129" s="188"/>
      <c r="C129" s="3" t="s">
        <v>2</v>
      </c>
      <c r="D129" s="76">
        <v>0</v>
      </c>
      <c r="E129" s="183">
        <v>2646921</v>
      </c>
      <c r="F129" s="183">
        <f t="shared" si="46"/>
        <v>0</v>
      </c>
      <c r="G129" s="184">
        <f t="shared" si="52"/>
        <v>2646921</v>
      </c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>
        <v>2646921</v>
      </c>
      <c r="AW129" s="184"/>
      <c r="AX129" s="184"/>
      <c r="AY129" s="184"/>
      <c r="AZ129" s="184"/>
      <c r="BA129" s="184"/>
      <c r="BB129" s="184"/>
    </row>
    <row r="130" spans="1:54" s="58" customFormat="1" ht="31.5">
      <c r="A130" s="33"/>
      <c r="B130" s="188"/>
      <c r="C130" s="3" t="s">
        <v>3</v>
      </c>
      <c r="D130" s="76">
        <v>0</v>
      </c>
      <c r="E130" s="183">
        <v>849963</v>
      </c>
      <c r="F130" s="183">
        <f t="shared" si="46"/>
        <v>0</v>
      </c>
      <c r="G130" s="184">
        <f t="shared" si="52"/>
        <v>849963</v>
      </c>
      <c r="H130" s="184">
        <f>H85+H87+H88</f>
        <v>30000</v>
      </c>
      <c r="I130" s="184">
        <f>I85</f>
        <v>50000</v>
      </c>
      <c r="J130" s="184">
        <f>J85+J87+J88</f>
        <v>100000</v>
      </c>
      <c r="K130" s="184">
        <f>K85</f>
        <v>30000</v>
      </c>
      <c r="L130" s="184">
        <f>L85</f>
        <v>70000</v>
      </c>
      <c r="M130" s="184">
        <f>M85</f>
        <v>50000</v>
      </c>
      <c r="N130" s="184">
        <f>N85+N87+N88</f>
        <v>60000</v>
      </c>
      <c r="O130" s="184">
        <f>O85</f>
        <v>30000</v>
      </c>
      <c r="P130" s="184">
        <f>P85+P87+P88+P90</f>
        <v>40000</v>
      </c>
      <c r="Q130" s="184">
        <f>Q85</f>
        <v>70000</v>
      </c>
      <c r="R130" s="184">
        <f>R85</f>
        <v>20000</v>
      </c>
      <c r="S130" s="184">
        <f>S85+S87+S88+S90-6000</f>
        <v>40000</v>
      </c>
      <c r="T130" s="184">
        <f>T85</f>
        <v>30000</v>
      </c>
      <c r="U130" s="184">
        <f>U85</f>
        <v>60000</v>
      </c>
      <c r="V130" s="184">
        <f>V85+V87+V88</f>
        <v>90000</v>
      </c>
      <c r="W130" s="184">
        <f>W85</f>
        <v>32000</v>
      </c>
      <c r="X130" s="184">
        <f>X85+X87+X88+X90</f>
        <v>0</v>
      </c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>
        <v>47963</v>
      </c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</row>
    <row r="131" spans="1:54" s="58" customFormat="1" ht="15.75">
      <c r="A131" s="33"/>
      <c r="B131" s="188"/>
      <c r="C131" s="3" t="s">
        <v>63</v>
      </c>
      <c r="D131" s="76">
        <v>0</v>
      </c>
      <c r="E131" s="183">
        <v>355100</v>
      </c>
      <c r="F131" s="183">
        <f t="shared" si="46"/>
        <v>0</v>
      </c>
      <c r="G131" s="184">
        <f t="shared" si="52"/>
        <v>355100</v>
      </c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>
        <v>355100</v>
      </c>
      <c r="BA131" s="184"/>
      <c r="BB131" s="184"/>
    </row>
    <row r="132" spans="1:54" ht="15.75">
      <c r="A132" s="33">
        <v>6100</v>
      </c>
      <c r="B132" s="358" t="s">
        <v>4</v>
      </c>
      <c r="C132" s="359"/>
      <c r="D132" s="77"/>
      <c r="E132" s="112">
        <f>SUBTOTAL(9,E133:E134)</f>
        <v>-2620000</v>
      </c>
      <c r="F132" s="112">
        <f>SUBTOTAL(9,F133:F134)</f>
        <v>0</v>
      </c>
      <c r="G132" s="112">
        <f t="shared" ref="G132:BB132" si="98">SUBTOTAL(9,G133:G134)</f>
        <v>-2620000</v>
      </c>
      <c r="H132" s="112">
        <f t="shared" si="98"/>
        <v>0</v>
      </c>
      <c r="I132" s="112">
        <f t="shared" si="98"/>
        <v>0</v>
      </c>
      <c r="J132" s="112">
        <f t="shared" si="98"/>
        <v>0</v>
      </c>
      <c r="K132" s="112">
        <f t="shared" si="98"/>
        <v>0</v>
      </c>
      <c r="L132" s="112">
        <f t="shared" si="98"/>
        <v>-2160000</v>
      </c>
      <c r="M132" s="112">
        <f t="shared" si="98"/>
        <v>0</v>
      </c>
      <c r="N132" s="112">
        <f t="shared" si="98"/>
        <v>0</v>
      </c>
      <c r="O132" s="112">
        <f t="shared" si="98"/>
        <v>0</v>
      </c>
      <c r="P132" s="112">
        <f t="shared" si="98"/>
        <v>0</v>
      </c>
      <c r="Q132" s="112">
        <f t="shared" si="98"/>
        <v>0</v>
      </c>
      <c r="R132" s="112">
        <f t="shared" si="98"/>
        <v>0</v>
      </c>
      <c r="S132" s="112">
        <f t="shared" si="98"/>
        <v>0</v>
      </c>
      <c r="T132" s="112">
        <f t="shared" si="98"/>
        <v>0</v>
      </c>
      <c r="U132" s="112">
        <f t="shared" si="98"/>
        <v>0</v>
      </c>
      <c r="V132" s="112">
        <f t="shared" si="98"/>
        <v>0</v>
      </c>
      <c r="W132" s="112">
        <f t="shared" si="98"/>
        <v>0</v>
      </c>
      <c r="X132" s="112">
        <f t="shared" si="98"/>
        <v>0</v>
      </c>
      <c r="Y132" s="112">
        <f t="shared" si="98"/>
        <v>40000</v>
      </c>
      <c r="Z132" s="112">
        <f t="shared" si="98"/>
        <v>0</v>
      </c>
      <c r="AA132" s="112">
        <f t="shared" si="98"/>
        <v>0</v>
      </c>
      <c r="AB132" s="112">
        <f t="shared" si="98"/>
        <v>0</v>
      </c>
      <c r="AC132" s="112">
        <f t="shared" si="98"/>
        <v>0</v>
      </c>
      <c r="AD132" s="112">
        <f t="shared" si="98"/>
        <v>0</v>
      </c>
      <c r="AE132" s="112">
        <f t="shared" si="98"/>
        <v>0</v>
      </c>
      <c r="AF132" s="112">
        <f t="shared" si="98"/>
        <v>0</v>
      </c>
      <c r="AG132" s="112">
        <f t="shared" si="98"/>
        <v>0</v>
      </c>
      <c r="AH132" s="112">
        <f t="shared" si="98"/>
        <v>0</v>
      </c>
      <c r="AI132" s="112">
        <f t="shared" si="98"/>
        <v>0</v>
      </c>
      <c r="AJ132" s="112">
        <f t="shared" si="98"/>
        <v>0</v>
      </c>
      <c r="AK132" s="112">
        <f t="shared" si="98"/>
        <v>0</v>
      </c>
      <c r="AL132" s="112">
        <f t="shared" si="98"/>
        <v>0</v>
      </c>
      <c r="AM132" s="112">
        <f t="shared" si="98"/>
        <v>600000</v>
      </c>
      <c r="AN132" s="112">
        <f t="shared" si="98"/>
        <v>0</v>
      </c>
      <c r="AO132" s="112">
        <f t="shared" si="98"/>
        <v>0</v>
      </c>
      <c r="AP132" s="112">
        <f t="shared" si="98"/>
        <v>0</v>
      </c>
      <c r="AQ132" s="112">
        <f t="shared" si="98"/>
        <v>0</v>
      </c>
      <c r="AR132" s="112">
        <f t="shared" si="98"/>
        <v>0</v>
      </c>
      <c r="AS132" s="112">
        <f t="shared" si="98"/>
        <v>-300000</v>
      </c>
      <c r="AT132" s="112">
        <f t="shared" si="98"/>
        <v>0</v>
      </c>
      <c r="AU132" s="112">
        <f t="shared" si="98"/>
        <v>572944</v>
      </c>
      <c r="AV132" s="112">
        <f t="shared" si="98"/>
        <v>0</v>
      </c>
      <c r="AW132" s="112">
        <f t="shared" si="98"/>
        <v>0</v>
      </c>
      <c r="AX132" s="112">
        <f t="shared" si="98"/>
        <v>127056</v>
      </c>
      <c r="AY132" s="112">
        <f t="shared" si="98"/>
        <v>-1500000</v>
      </c>
      <c r="AZ132" s="112">
        <f t="shared" si="98"/>
        <v>0</v>
      </c>
      <c r="BA132" s="112">
        <f>SUBTOTAL(9,BA133:BA134)</f>
        <v>0</v>
      </c>
      <c r="BB132" s="112">
        <f t="shared" si="98"/>
        <v>0</v>
      </c>
    </row>
    <row r="133" spans="1:54" ht="15.75">
      <c r="A133" s="20"/>
      <c r="B133" s="4">
        <v>6101</v>
      </c>
      <c r="C133" s="5" t="s">
        <v>49</v>
      </c>
      <c r="D133" s="3"/>
      <c r="E133" s="155">
        <v>-2620000</v>
      </c>
      <c r="F133" s="155">
        <f>E133-G133</f>
        <v>-7287056</v>
      </c>
      <c r="G133" s="113">
        <f t="shared" si="52"/>
        <v>4667056</v>
      </c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>
        <v>40000</v>
      </c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>
        <v>600000</v>
      </c>
      <c r="AN133" s="113"/>
      <c r="AO133" s="113"/>
      <c r="AP133" s="113"/>
      <c r="AQ133" s="113"/>
      <c r="AR133" s="113"/>
      <c r="AS133" s="113">
        <f>400000+500000+800000</f>
        <v>1700000</v>
      </c>
      <c r="AT133" s="113"/>
      <c r="AU133" s="113">
        <v>700000</v>
      </c>
      <c r="AV133" s="113"/>
      <c r="AW133" s="113"/>
      <c r="AX133" s="113">
        <v>127056</v>
      </c>
      <c r="AY133" s="113">
        <v>1500000</v>
      </c>
      <c r="AZ133" s="113"/>
      <c r="BA133" s="113"/>
      <c r="BB133" s="113"/>
    </row>
    <row r="134" spans="1:54" ht="15.75">
      <c r="A134" s="20"/>
      <c r="B134" s="4">
        <v>6102</v>
      </c>
      <c r="C134" s="7" t="s">
        <v>50</v>
      </c>
      <c r="D134" s="78"/>
      <c r="E134" s="155"/>
      <c r="F134" s="155">
        <f>E134-G134</f>
        <v>7287056</v>
      </c>
      <c r="G134" s="113">
        <f t="shared" si="52"/>
        <v>-7287056</v>
      </c>
      <c r="H134" s="113"/>
      <c r="I134" s="113"/>
      <c r="J134" s="113"/>
      <c r="K134" s="113"/>
      <c r="L134" s="113">
        <v>-2160000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>
        <v>-2000000</v>
      </c>
      <c r="AT134" s="113"/>
      <c r="AU134" s="113">
        <v>-127056</v>
      </c>
      <c r="AV134" s="113"/>
      <c r="AW134" s="113"/>
      <c r="AX134" s="113"/>
      <c r="AY134" s="113">
        <v>-3000000</v>
      </c>
      <c r="AZ134" s="113"/>
      <c r="BA134" s="113"/>
      <c r="BB134" s="113"/>
    </row>
    <row r="135" spans="1:54" ht="15.75">
      <c r="A135" s="33">
        <v>6300</v>
      </c>
      <c r="B135" s="358" t="s">
        <v>66</v>
      </c>
      <c r="C135" s="359"/>
      <c r="D135" s="79"/>
      <c r="E135" s="112">
        <f>SUBTOTAL(9,E136:E137)</f>
        <v>0</v>
      </c>
      <c r="F135" s="112">
        <f>SUBTOTAL(9,F136:F137)</f>
        <v>0</v>
      </c>
      <c r="G135" s="112">
        <f t="shared" ref="G135:BB135" si="99">SUBTOTAL(9,G136:G137)</f>
        <v>0</v>
      </c>
      <c r="H135" s="112">
        <f t="shared" si="99"/>
        <v>0</v>
      </c>
      <c r="I135" s="112">
        <f t="shared" si="99"/>
        <v>0</v>
      </c>
      <c r="J135" s="112">
        <f t="shared" si="99"/>
        <v>0</v>
      </c>
      <c r="K135" s="112">
        <f t="shared" si="99"/>
        <v>0</v>
      </c>
      <c r="L135" s="112">
        <f t="shared" si="99"/>
        <v>0</v>
      </c>
      <c r="M135" s="112">
        <f t="shared" si="99"/>
        <v>0</v>
      </c>
      <c r="N135" s="112">
        <f t="shared" si="99"/>
        <v>0</v>
      </c>
      <c r="O135" s="112">
        <f t="shared" si="99"/>
        <v>0</v>
      </c>
      <c r="P135" s="112">
        <f t="shared" si="99"/>
        <v>0</v>
      </c>
      <c r="Q135" s="112">
        <f t="shared" si="99"/>
        <v>0</v>
      </c>
      <c r="R135" s="112">
        <f t="shared" si="99"/>
        <v>0</v>
      </c>
      <c r="S135" s="112">
        <f t="shared" si="99"/>
        <v>0</v>
      </c>
      <c r="T135" s="112">
        <f t="shared" si="99"/>
        <v>0</v>
      </c>
      <c r="U135" s="112">
        <f t="shared" si="99"/>
        <v>0</v>
      </c>
      <c r="V135" s="112">
        <f t="shared" si="99"/>
        <v>0</v>
      </c>
      <c r="W135" s="112">
        <f t="shared" si="99"/>
        <v>0</v>
      </c>
      <c r="X135" s="112">
        <f t="shared" si="99"/>
        <v>0</v>
      </c>
      <c r="Y135" s="112">
        <f t="shared" si="99"/>
        <v>0</v>
      </c>
      <c r="Z135" s="112">
        <f t="shared" si="99"/>
        <v>0</v>
      </c>
      <c r="AA135" s="112">
        <f t="shared" si="99"/>
        <v>0</v>
      </c>
      <c r="AB135" s="112">
        <f t="shared" si="99"/>
        <v>0</v>
      </c>
      <c r="AC135" s="112">
        <f t="shared" si="99"/>
        <v>0</v>
      </c>
      <c r="AD135" s="112">
        <f t="shared" si="99"/>
        <v>0</v>
      </c>
      <c r="AE135" s="112">
        <f t="shared" si="99"/>
        <v>0</v>
      </c>
      <c r="AF135" s="112">
        <f t="shared" si="99"/>
        <v>0</v>
      </c>
      <c r="AG135" s="112">
        <f t="shared" si="99"/>
        <v>0</v>
      </c>
      <c r="AH135" s="112">
        <f t="shared" si="99"/>
        <v>0</v>
      </c>
      <c r="AI135" s="112">
        <f t="shared" si="99"/>
        <v>0</v>
      </c>
      <c r="AJ135" s="112">
        <f t="shared" si="99"/>
        <v>0</v>
      </c>
      <c r="AK135" s="112">
        <f t="shared" si="99"/>
        <v>0</v>
      </c>
      <c r="AL135" s="112">
        <f t="shared" si="99"/>
        <v>0</v>
      </c>
      <c r="AM135" s="112">
        <f t="shared" si="99"/>
        <v>0</v>
      </c>
      <c r="AN135" s="112">
        <f t="shared" si="99"/>
        <v>0</v>
      </c>
      <c r="AO135" s="112">
        <f t="shared" si="99"/>
        <v>0</v>
      </c>
      <c r="AP135" s="112">
        <f t="shared" si="99"/>
        <v>0</v>
      </c>
      <c r="AQ135" s="112">
        <f t="shared" si="99"/>
        <v>0</v>
      </c>
      <c r="AR135" s="112">
        <f t="shared" si="99"/>
        <v>0</v>
      </c>
      <c r="AS135" s="112">
        <f t="shared" si="99"/>
        <v>0</v>
      </c>
      <c r="AT135" s="112">
        <f t="shared" si="99"/>
        <v>0</v>
      </c>
      <c r="AU135" s="112">
        <f t="shared" si="99"/>
        <v>0</v>
      </c>
      <c r="AV135" s="112">
        <f t="shared" si="99"/>
        <v>0</v>
      </c>
      <c r="AW135" s="112">
        <f t="shared" si="99"/>
        <v>0</v>
      </c>
      <c r="AX135" s="112">
        <f t="shared" si="99"/>
        <v>0</v>
      </c>
      <c r="AY135" s="112">
        <f t="shared" si="99"/>
        <v>0</v>
      </c>
      <c r="AZ135" s="112">
        <f t="shared" si="99"/>
        <v>0</v>
      </c>
      <c r="BA135" s="112">
        <f>SUBTOTAL(9,BA136:BA137)</f>
        <v>0</v>
      </c>
      <c r="BB135" s="112">
        <f t="shared" si="99"/>
        <v>0</v>
      </c>
    </row>
    <row r="136" spans="1:54" ht="15.75">
      <c r="A136" s="1"/>
      <c r="B136" s="4">
        <v>6301</v>
      </c>
      <c r="C136" s="21" t="s">
        <v>67</v>
      </c>
      <c r="D136" s="80"/>
      <c r="E136" s="155"/>
      <c r="F136" s="155">
        <f>E136-G136</f>
        <v>0</v>
      </c>
      <c r="G136" s="113">
        <f t="shared" si="52"/>
        <v>0</v>
      </c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</row>
    <row r="137" spans="1:54" ht="16.5" thickBot="1">
      <c r="A137" s="43"/>
      <c r="B137" s="44">
        <v>6302</v>
      </c>
      <c r="C137" s="45" t="s">
        <v>68</v>
      </c>
      <c r="D137" s="81"/>
      <c r="E137" s="156"/>
      <c r="F137" s="155">
        <f>E137-G137</f>
        <v>0</v>
      </c>
      <c r="G137" s="114">
        <f t="shared" si="52"/>
        <v>0</v>
      </c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</row>
    <row r="138" spans="1:54" s="66" customFormat="1" ht="21.75" thickBot="1">
      <c r="A138" s="375" t="s">
        <v>191</v>
      </c>
      <c r="B138" s="376"/>
      <c r="C138" s="376"/>
      <c r="D138" s="377"/>
      <c r="E138" s="117">
        <f>SUBTOTAL(9,E139:E152)</f>
        <v>0</v>
      </c>
      <c r="F138" s="117">
        <f>SUBTOTAL(9,F139:F152)</f>
        <v>0.291064428165555</v>
      </c>
      <c r="G138" s="117">
        <f t="shared" ref="G138:BB138" si="100">SUBTOTAL(9,G139:G152)</f>
        <v>-0.291064428165555</v>
      </c>
      <c r="H138" s="117">
        <f t="shared" si="100"/>
        <v>97821.60610858188</v>
      </c>
      <c r="I138" s="117">
        <f t="shared" si="100"/>
        <v>-164016.22199703683</v>
      </c>
      <c r="J138" s="117">
        <f t="shared" si="100"/>
        <v>182829.5068251412</v>
      </c>
      <c r="K138" s="117">
        <f t="shared" si="100"/>
        <v>179085.00487116049</v>
      </c>
      <c r="L138" s="117">
        <f t="shared" si="100"/>
        <v>-2427445.8765258086</v>
      </c>
      <c r="M138" s="117">
        <f t="shared" si="100"/>
        <v>-725630.96578895755</v>
      </c>
      <c r="N138" s="117">
        <f t="shared" si="100"/>
        <v>-62567.480119859334</v>
      </c>
      <c r="O138" s="117">
        <f t="shared" si="100"/>
        <v>321635.43988542235</v>
      </c>
      <c r="P138" s="117">
        <f t="shared" si="100"/>
        <v>96404.347363504727</v>
      </c>
      <c r="Q138" s="117">
        <f t="shared" si="100"/>
        <v>-3803142.9880675622</v>
      </c>
      <c r="R138" s="117">
        <f t="shared" si="100"/>
        <v>-1926235.6079670694</v>
      </c>
      <c r="S138" s="117">
        <f t="shared" si="100"/>
        <v>-13746.657342061502</v>
      </c>
      <c r="T138" s="117">
        <f t="shared" si="100"/>
        <v>305589.13645298948</v>
      </c>
      <c r="U138" s="117">
        <f t="shared" si="100"/>
        <v>8723.1286590486416</v>
      </c>
      <c r="V138" s="117">
        <f t="shared" si="100"/>
        <v>19158.48788519403</v>
      </c>
      <c r="W138" s="117">
        <f t="shared" si="100"/>
        <v>-1677887.9318753541</v>
      </c>
      <c r="X138" s="117">
        <f t="shared" si="100"/>
        <v>998674.29999999993</v>
      </c>
      <c r="Y138" s="117">
        <f t="shared" si="100"/>
        <v>-144639.83443401978</v>
      </c>
      <c r="Z138" s="117">
        <f t="shared" si="100"/>
        <v>-99661.564901572565</v>
      </c>
      <c r="AA138" s="117">
        <f t="shared" si="100"/>
        <v>343985.73995748215</v>
      </c>
      <c r="AB138" s="117">
        <f t="shared" si="100"/>
        <v>2824000</v>
      </c>
      <c r="AC138" s="117">
        <f t="shared" si="100"/>
        <v>315118.13994635007</v>
      </c>
      <c r="AD138" s="117">
        <f t="shared" si="100"/>
        <v>157000</v>
      </c>
      <c r="AE138" s="117">
        <f t="shared" si="100"/>
        <v>158500</v>
      </c>
      <c r="AF138" s="117">
        <f t="shared" si="100"/>
        <v>150000</v>
      </c>
      <c r="AG138" s="117">
        <f t="shared" si="100"/>
        <v>47600</v>
      </c>
      <c r="AH138" s="117">
        <f t="shared" si="100"/>
        <v>57000</v>
      </c>
      <c r="AI138" s="117">
        <f t="shared" si="100"/>
        <v>3345000</v>
      </c>
      <c r="AJ138" s="117">
        <f t="shared" si="100"/>
        <v>830000</v>
      </c>
      <c r="AK138" s="117">
        <f t="shared" si="100"/>
        <v>100000</v>
      </c>
      <c r="AL138" s="117">
        <f t="shared" si="100"/>
        <v>26950</v>
      </c>
      <c r="AM138" s="117">
        <f t="shared" si="100"/>
        <v>0</v>
      </c>
      <c r="AN138" s="117">
        <f t="shared" si="100"/>
        <v>195000</v>
      </c>
      <c r="AO138" s="117">
        <f t="shared" si="100"/>
        <v>95000</v>
      </c>
      <c r="AP138" s="117">
        <f t="shared" si="100"/>
        <v>95000</v>
      </c>
      <c r="AQ138" s="117">
        <f t="shared" si="100"/>
        <v>10000</v>
      </c>
      <c r="AR138" s="117">
        <f t="shared" si="100"/>
        <v>150000</v>
      </c>
      <c r="AS138" s="117">
        <f t="shared" si="100"/>
        <v>0</v>
      </c>
      <c r="AT138" s="117">
        <f t="shared" si="100"/>
        <v>0</v>
      </c>
      <c r="AU138" s="117">
        <f t="shared" si="100"/>
        <v>0</v>
      </c>
      <c r="AV138" s="117">
        <f t="shared" si="100"/>
        <v>-15100</v>
      </c>
      <c r="AW138" s="117">
        <f t="shared" si="100"/>
        <v>-50000</v>
      </c>
      <c r="AX138" s="117">
        <f t="shared" si="100"/>
        <v>0</v>
      </c>
      <c r="AY138" s="117">
        <f t="shared" si="100"/>
        <v>0</v>
      </c>
      <c r="AZ138" s="117">
        <f t="shared" si="100"/>
        <v>0</v>
      </c>
      <c r="BA138" s="117">
        <f t="shared" si="100"/>
        <v>0</v>
      </c>
      <c r="BB138" s="116">
        <f t="shared" si="100"/>
        <v>0</v>
      </c>
    </row>
    <row r="139" spans="1:54" s="147" customFormat="1" ht="15.75">
      <c r="A139" s="74"/>
      <c r="B139" s="369" t="s">
        <v>176</v>
      </c>
      <c r="C139" s="370"/>
      <c r="D139" s="82"/>
      <c r="E139" s="115">
        <f>SUBTOTAL(9,E140:E146)</f>
        <v>0</v>
      </c>
      <c r="F139" s="115">
        <f>SUBTOTAL(9,F140:F146)</f>
        <v>19784759.490112502</v>
      </c>
      <c r="G139" s="115">
        <f t="shared" ref="G139:BB139" si="101">SUBTOTAL(9,G140:G146)</f>
        <v>-19784759.490112502</v>
      </c>
      <c r="H139" s="115">
        <f t="shared" si="101"/>
        <v>-164422.43102122413</v>
      </c>
      <c r="I139" s="115">
        <f t="shared" si="101"/>
        <v>-1197161.5808319375</v>
      </c>
      <c r="J139" s="115">
        <f t="shared" si="101"/>
        <v>-572957.50797284138</v>
      </c>
      <c r="K139" s="115">
        <f t="shared" si="101"/>
        <v>-512940.26810354571</v>
      </c>
      <c r="L139" s="115">
        <f t="shared" si="101"/>
        <v>-2311764.0452325344</v>
      </c>
      <c r="M139" s="115">
        <f t="shared" si="101"/>
        <v>-664670.3689886058</v>
      </c>
      <c r="N139" s="115">
        <f t="shared" si="101"/>
        <v>-552284.11719374789</v>
      </c>
      <c r="O139" s="115">
        <f t="shared" si="101"/>
        <v>-686979.44888093858</v>
      </c>
      <c r="P139" s="115">
        <f t="shared" si="101"/>
        <v>-1574086.7626784958</v>
      </c>
      <c r="Q139" s="115">
        <f t="shared" si="101"/>
        <v>-3617543.8323263968</v>
      </c>
      <c r="R139" s="115">
        <f t="shared" si="101"/>
        <v>-1779335.1758961787</v>
      </c>
      <c r="S139" s="115">
        <f t="shared" si="101"/>
        <v>-437657.23206167767</v>
      </c>
      <c r="T139" s="115">
        <f t="shared" si="101"/>
        <v>-934603.37652908161</v>
      </c>
      <c r="U139" s="115">
        <f t="shared" si="101"/>
        <v>-1707905.4725467761</v>
      </c>
      <c r="V139" s="115">
        <f t="shared" si="101"/>
        <v>-1203636.2256320384</v>
      </c>
      <c r="W139" s="115">
        <f t="shared" si="101"/>
        <v>-1531535.1015498429</v>
      </c>
      <c r="X139" s="115">
        <f t="shared" si="101"/>
        <v>-1275</v>
      </c>
      <c r="Y139" s="115">
        <f t="shared" si="101"/>
        <v>-144542.33970674823</v>
      </c>
      <c r="Z139" s="115">
        <f t="shared" si="101"/>
        <v>-99431.215161321175</v>
      </c>
      <c r="AA139" s="115">
        <f t="shared" si="101"/>
        <v>-15827.987798568029</v>
      </c>
      <c r="AB139" s="115">
        <f t="shared" si="101"/>
        <v>-1000</v>
      </c>
      <c r="AC139" s="115">
        <f t="shared" si="101"/>
        <v>0</v>
      </c>
      <c r="AD139" s="115">
        <f t="shared" si="101"/>
        <v>-3000</v>
      </c>
      <c r="AE139" s="115">
        <f t="shared" si="101"/>
        <v>-1500</v>
      </c>
      <c r="AF139" s="115">
        <f t="shared" si="101"/>
        <v>0</v>
      </c>
      <c r="AG139" s="115">
        <f t="shared" si="101"/>
        <v>0</v>
      </c>
      <c r="AH139" s="115">
        <f t="shared" si="101"/>
        <v>0</v>
      </c>
      <c r="AI139" s="115">
        <f t="shared" si="101"/>
        <v>0</v>
      </c>
      <c r="AJ139" s="115">
        <f t="shared" si="101"/>
        <v>0</v>
      </c>
      <c r="AK139" s="115">
        <f t="shared" si="101"/>
        <v>0</v>
      </c>
      <c r="AL139" s="115">
        <f t="shared" si="101"/>
        <v>-3600</v>
      </c>
      <c r="AM139" s="115">
        <f t="shared" si="101"/>
        <v>0</v>
      </c>
      <c r="AN139" s="115">
        <f t="shared" si="101"/>
        <v>0</v>
      </c>
      <c r="AO139" s="115">
        <f t="shared" si="101"/>
        <v>0</v>
      </c>
      <c r="AP139" s="115">
        <f t="shared" si="101"/>
        <v>0</v>
      </c>
      <c r="AQ139" s="115">
        <f t="shared" si="101"/>
        <v>0</v>
      </c>
      <c r="AR139" s="115">
        <f t="shared" si="101"/>
        <v>0</v>
      </c>
      <c r="AS139" s="115">
        <f t="shared" si="101"/>
        <v>0</v>
      </c>
      <c r="AT139" s="115">
        <f t="shared" si="101"/>
        <v>0</v>
      </c>
      <c r="AU139" s="115">
        <f t="shared" si="101"/>
        <v>0</v>
      </c>
      <c r="AV139" s="115">
        <f t="shared" si="101"/>
        <v>-15100</v>
      </c>
      <c r="AW139" s="115">
        <f t="shared" si="101"/>
        <v>-50000</v>
      </c>
      <c r="AX139" s="115">
        <f t="shared" si="101"/>
        <v>0</v>
      </c>
      <c r="AY139" s="115">
        <f t="shared" si="101"/>
        <v>0</v>
      </c>
      <c r="AZ139" s="115">
        <f t="shared" si="101"/>
        <v>0</v>
      </c>
      <c r="BA139" s="115">
        <f t="shared" si="101"/>
        <v>0</v>
      </c>
      <c r="BB139" s="115">
        <f t="shared" si="101"/>
        <v>0</v>
      </c>
    </row>
    <row r="140" spans="1:54" ht="31.5">
      <c r="A140" s="1"/>
      <c r="B140" s="83"/>
      <c r="C140" s="5" t="s">
        <v>160</v>
      </c>
      <c r="D140" s="59">
        <v>0.25</v>
      </c>
      <c r="E140" s="155"/>
      <c r="F140" s="155">
        <f t="shared" ref="F140:F146" si="102">E140-G140</f>
        <v>11906689.753875</v>
      </c>
      <c r="G140" s="113">
        <f t="shared" si="52"/>
        <v>-11906689.753875</v>
      </c>
      <c r="H140" s="113">
        <f>-(H98+H107+H116)*0.25</f>
        <v>-82239.604164009885</v>
      </c>
      <c r="I140" s="113">
        <f t="shared" ref="I140:AB140" si="103">-(I98+I107+I116)*0.25</f>
        <v>-832040.72641239571</v>
      </c>
      <c r="J140" s="113">
        <f t="shared" si="103"/>
        <v>-350324.0590602216</v>
      </c>
      <c r="K140" s="113">
        <f t="shared" si="103"/>
        <v>-300468.53154455492</v>
      </c>
      <c r="L140" s="113">
        <f t="shared" si="103"/>
        <v>-1157088.3786382275</v>
      </c>
      <c r="M140" s="113">
        <f t="shared" si="103"/>
        <v>-235446.95723590796</v>
      </c>
      <c r="N140" s="113">
        <f t="shared" si="103"/>
        <v>-286260.58322624245</v>
      </c>
      <c r="O140" s="113">
        <f t="shared" si="103"/>
        <v>-464377.16599673929</v>
      </c>
      <c r="P140" s="113">
        <f t="shared" si="103"/>
        <v>-1064176.113214903</v>
      </c>
      <c r="Q140" s="113">
        <f t="shared" si="103"/>
        <v>-2796941.3505333182</v>
      </c>
      <c r="R140" s="113">
        <f t="shared" si="103"/>
        <v>-737143.0088915471</v>
      </c>
      <c r="S140" s="113">
        <f t="shared" si="103"/>
        <v>-233385.11496971911</v>
      </c>
      <c r="T140" s="113">
        <f t="shared" si="103"/>
        <v>-632279.94304945925</v>
      </c>
      <c r="U140" s="113">
        <f t="shared" si="103"/>
        <v>-883796.99674658314</v>
      </c>
      <c r="V140" s="113">
        <f t="shared" si="103"/>
        <v>-894008.26292164775</v>
      </c>
      <c r="W140" s="113">
        <f t="shared" si="103"/>
        <v>-936273.31025792821</v>
      </c>
      <c r="X140" s="113">
        <f t="shared" si="103"/>
        <v>0</v>
      </c>
      <c r="Y140" s="113">
        <f t="shared" si="103"/>
        <v>-5167.4411053721587</v>
      </c>
      <c r="Z140" s="113">
        <f t="shared" si="103"/>
        <v>-5624.9157275558309</v>
      </c>
      <c r="AA140" s="113">
        <f t="shared" si="103"/>
        <v>-9647.2901786677248</v>
      </c>
      <c r="AB140" s="113">
        <f t="shared" si="103"/>
        <v>0</v>
      </c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</row>
    <row r="141" spans="1:54" ht="31.5">
      <c r="A141" s="1"/>
      <c r="B141" s="83"/>
      <c r="C141" s="5" t="s">
        <v>161</v>
      </c>
      <c r="D141" s="59">
        <v>0.25</v>
      </c>
      <c r="E141" s="155"/>
      <c r="F141" s="155">
        <f t="shared" si="102"/>
        <v>514919.57874999987</v>
      </c>
      <c r="G141" s="113">
        <f t="shared" si="52"/>
        <v>-514919.57874999987</v>
      </c>
      <c r="H141" s="113">
        <f>-(H102+H111+H120)*0.25</f>
        <v>-8771.4612734854691</v>
      </c>
      <c r="I141" s="113">
        <f t="shared" ref="I141:AB141" si="104">-(I102+I111+I120)*0.25</f>
        <v>-51123.383343130474</v>
      </c>
      <c r="J141" s="113">
        <f t="shared" si="104"/>
        <v>-4217.9307578159742</v>
      </c>
      <c r="K141" s="113">
        <f t="shared" si="104"/>
        <v>-23211.072166243946</v>
      </c>
      <c r="L141" s="113">
        <f t="shared" si="104"/>
        <v>-1582.9297927211639</v>
      </c>
      <c r="M141" s="113">
        <f t="shared" si="104"/>
        <v>-1510.0272114850036</v>
      </c>
      <c r="N141" s="113">
        <f t="shared" si="104"/>
        <v>-1354.5095077572205</v>
      </c>
      <c r="O141" s="113">
        <f t="shared" si="104"/>
        <v>-35401.335828848911</v>
      </c>
      <c r="P141" s="113">
        <f t="shared" si="104"/>
        <v>-53996.30653867044</v>
      </c>
      <c r="Q141" s="113">
        <f t="shared" si="104"/>
        <v>-228902.27457735178</v>
      </c>
      <c r="R141" s="113">
        <f t="shared" si="104"/>
        <v>-8143.1228446438581</v>
      </c>
      <c r="S141" s="113">
        <f t="shared" si="104"/>
        <v>-1435.2462899691238</v>
      </c>
      <c r="T141" s="113">
        <f t="shared" si="104"/>
        <v>-33699.626119421759</v>
      </c>
      <c r="U141" s="113">
        <f t="shared" si="104"/>
        <v>-32885.407511697638</v>
      </c>
      <c r="V141" s="113">
        <f t="shared" si="104"/>
        <v>-24863.267689614557</v>
      </c>
      <c r="W141" s="113">
        <f t="shared" si="104"/>
        <v>-2699.6092781153852</v>
      </c>
      <c r="X141" s="113">
        <f t="shared" si="104"/>
        <v>0</v>
      </c>
      <c r="Y141" s="113">
        <f t="shared" si="104"/>
        <v>0</v>
      </c>
      <c r="Z141" s="113">
        <f t="shared" si="104"/>
        <v>-217.63673662322742</v>
      </c>
      <c r="AA141" s="113">
        <f t="shared" si="104"/>
        <v>-904.43128240400392</v>
      </c>
      <c r="AB141" s="113">
        <f t="shared" si="104"/>
        <v>0</v>
      </c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</row>
    <row r="142" spans="1:54" ht="31.5">
      <c r="A142" s="1"/>
      <c r="B142" s="83"/>
      <c r="C142" s="5" t="s">
        <v>162</v>
      </c>
      <c r="D142" s="59">
        <v>0.25</v>
      </c>
      <c r="E142" s="155"/>
      <c r="F142" s="155">
        <f t="shared" si="102"/>
        <v>830391.92775000015</v>
      </c>
      <c r="G142" s="113">
        <f t="shared" si="52"/>
        <v>-830391.92775000015</v>
      </c>
      <c r="H142" s="113">
        <f t="shared" ref="H142:AB142" si="105">-(H106+H115)*0.25</f>
        <v>-33180.839999999997</v>
      </c>
      <c r="I142" s="113">
        <f t="shared" si="105"/>
        <v>-48336.57675</v>
      </c>
      <c r="J142" s="113">
        <f t="shared" si="105"/>
        <v>-65640.960000000021</v>
      </c>
      <c r="K142" s="113">
        <f t="shared" si="105"/>
        <v>-72945.803699999989</v>
      </c>
      <c r="L142" s="113">
        <f t="shared" si="105"/>
        <v>0</v>
      </c>
      <c r="M142" s="113">
        <f t="shared" si="105"/>
        <v>-28651.391999999993</v>
      </c>
      <c r="N142" s="113">
        <f t="shared" si="105"/>
        <v>-58992.260249999992</v>
      </c>
      <c r="O142" s="113">
        <f t="shared" si="105"/>
        <v>-98078.037749999989</v>
      </c>
      <c r="P142" s="113">
        <f t="shared" si="105"/>
        <v>-26412.771000000001</v>
      </c>
      <c r="Q142" s="113">
        <f t="shared" si="105"/>
        <v>-56686.187250000003</v>
      </c>
      <c r="R142" s="113">
        <f t="shared" si="105"/>
        <v>-27328.339500000002</v>
      </c>
      <c r="S142" s="113">
        <f t="shared" si="105"/>
        <v>-13474.460999999999</v>
      </c>
      <c r="T142" s="113">
        <f t="shared" si="105"/>
        <v>-50605.190999999999</v>
      </c>
      <c r="U142" s="113">
        <f t="shared" si="105"/>
        <v>-147755.10749999998</v>
      </c>
      <c r="V142" s="113">
        <f t="shared" si="105"/>
        <v>-49932.32475</v>
      </c>
      <c r="W142" s="113">
        <f t="shared" si="105"/>
        <v>-49718.707499999997</v>
      </c>
      <c r="X142" s="113">
        <f t="shared" si="105"/>
        <v>0</v>
      </c>
      <c r="Y142" s="113">
        <f t="shared" si="105"/>
        <v>0</v>
      </c>
      <c r="Z142" s="113">
        <f t="shared" si="105"/>
        <v>-958.8599999999999</v>
      </c>
      <c r="AA142" s="113">
        <f t="shared" si="105"/>
        <v>-1694.1077999999998</v>
      </c>
      <c r="AB142" s="113">
        <f t="shared" si="105"/>
        <v>0</v>
      </c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</row>
    <row r="143" spans="1:54" ht="31.5">
      <c r="A143" s="1"/>
      <c r="B143" s="83"/>
      <c r="C143" s="5" t="s">
        <v>197</v>
      </c>
      <c r="D143" s="59">
        <v>0.25</v>
      </c>
      <c r="E143" s="155"/>
      <c r="F143" s="155">
        <f t="shared" si="102"/>
        <v>4223648.5953625012</v>
      </c>
      <c r="G143" s="113">
        <f>SUM(H143:BB143)</f>
        <v>-4223648.5953625012</v>
      </c>
      <c r="H143" s="113">
        <f t="shared" ref="H143:AB143" si="106">-(H8*0.25)</f>
        <v>-16263.63646154981</v>
      </c>
      <c r="I143" s="113">
        <f t="shared" si="106"/>
        <v>-172591.34388929323</v>
      </c>
      <c r="J143" s="113">
        <f t="shared" si="106"/>
        <v>-92104.427759748985</v>
      </c>
      <c r="K143" s="113">
        <f t="shared" si="106"/>
        <v>-81969.78791643861</v>
      </c>
      <c r="L143" s="113">
        <f t="shared" si="106"/>
        <v>-1143296.3174989163</v>
      </c>
      <c r="M143" s="113">
        <f t="shared" si="106"/>
        <v>-125126.95595728898</v>
      </c>
      <c r="N143" s="113">
        <f t="shared" si="106"/>
        <v>-157080.57891739067</v>
      </c>
      <c r="O143" s="113">
        <f t="shared" si="106"/>
        <v>-49377.695468917213</v>
      </c>
      <c r="P143" s="113">
        <f t="shared" si="106"/>
        <v>-337025.47652558179</v>
      </c>
      <c r="Q143" s="113">
        <f t="shared" si="106"/>
        <v>-418713.18793909304</v>
      </c>
      <c r="R143" s="113">
        <f t="shared" si="106"/>
        <v>-292591.22245764575</v>
      </c>
      <c r="S143" s="113">
        <f t="shared" si="106"/>
        <v>-107537.2234048221</v>
      </c>
      <c r="T143" s="113">
        <f t="shared" si="106"/>
        <v>-177249.08771670144</v>
      </c>
      <c r="U143" s="113">
        <f t="shared" si="106"/>
        <v>-339656.64544677926</v>
      </c>
      <c r="V143" s="113">
        <f t="shared" si="106"/>
        <v>-216542.51422216278</v>
      </c>
      <c r="W143" s="113">
        <f t="shared" si="106"/>
        <v>-488561.36475057533</v>
      </c>
      <c r="X143" s="113">
        <f t="shared" si="106"/>
        <v>0</v>
      </c>
      <c r="Y143" s="113">
        <f t="shared" si="106"/>
        <v>-1387.3986013760841</v>
      </c>
      <c r="Z143" s="113">
        <f t="shared" si="106"/>
        <v>-3877.8170585935086</v>
      </c>
      <c r="AA143" s="113">
        <f t="shared" si="106"/>
        <v>-2695.9133696249164</v>
      </c>
      <c r="AB143" s="113">
        <f t="shared" si="106"/>
        <v>0</v>
      </c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</row>
    <row r="144" spans="1:54" ht="31.5">
      <c r="A144" s="1"/>
      <c r="B144" s="83"/>
      <c r="C144" s="5" t="s">
        <v>198</v>
      </c>
      <c r="D144" s="59">
        <v>0.25</v>
      </c>
      <c r="E144" s="155"/>
      <c r="F144" s="155">
        <f t="shared" si="102"/>
        <v>1699641.2192500003</v>
      </c>
      <c r="G144" s="113">
        <f>SUM(H144:BB144)</f>
        <v>-1699641.2192500003</v>
      </c>
      <c r="H144" s="113">
        <f t="shared" ref="H144:AB144" si="107">-(H12*0.25)</f>
        <v>-16457.255997178963</v>
      </c>
      <c r="I144" s="113">
        <f t="shared" si="107"/>
        <v>-79040.550437118131</v>
      </c>
      <c r="J144" s="113">
        <f t="shared" si="107"/>
        <v>-47782.130395054803</v>
      </c>
      <c r="K144" s="113">
        <f t="shared" si="107"/>
        <v>-20182.055416308256</v>
      </c>
      <c r="L144" s="113">
        <f t="shared" si="107"/>
        <v>-2076.4193026693279</v>
      </c>
      <c r="M144" s="113">
        <f t="shared" si="107"/>
        <v>-256163.78395892386</v>
      </c>
      <c r="N144" s="113">
        <f t="shared" si="107"/>
        <v>-37464.185292357579</v>
      </c>
      <c r="O144" s="113">
        <f t="shared" si="107"/>
        <v>-33854.713836433075</v>
      </c>
      <c r="P144" s="113">
        <f t="shared" si="107"/>
        <v>-72457.402524340883</v>
      </c>
      <c r="Q144" s="113">
        <f t="shared" si="107"/>
        <v>-94352.799526633549</v>
      </c>
      <c r="R144" s="113">
        <f t="shared" si="107"/>
        <v>-623178.98220234201</v>
      </c>
      <c r="S144" s="113">
        <f t="shared" si="107"/>
        <v>-71387.18639716733</v>
      </c>
      <c r="T144" s="113">
        <f t="shared" si="107"/>
        <v>-30376.92258289309</v>
      </c>
      <c r="U144" s="113">
        <f t="shared" si="107"/>
        <v>-258513.57109171612</v>
      </c>
      <c r="V144" s="113">
        <f t="shared" si="107"/>
        <v>-14174.85604861323</v>
      </c>
      <c r="W144" s="113">
        <f t="shared" si="107"/>
        <v>-40945.109763223867</v>
      </c>
      <c r="X144" s="113">
        <f t="shared" si="107"/>
        <v>0</v>
      </c>
      <c r="Y144" s="113">
        <f t="shared" si="107"/>
        <v>0</v>
      </c>
      <c r="Z144" s="113">
        <f t="shared" si="107"/>
        <v>-500.09169915467459</v>
      </c>
      <c r="AA144" s="113">
        <f t="shared" si="107"/>
        <v>-733.20277787138286</v>
      </c>
      <c r="AB144" s="113">
        <f t="shared" si="107"/>
        <v>0</v>
      </c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</row>
    <row r="145" spans="1:54" ht="31.5">
      <c r="A145" s="1"/>
      <c r="B145" s="83"/>
      <c r="C145" s="5" t="s">
        <v>199</v>
      </c>
      <c r="D145" s="59">
        <v>0.25</v>
      </c>
      <c r="E145" s="155"/>
      <c r="F145" s="155">
        <f t="shared" si="102"/>
        <v>136674.415125</v>
      </c>
      <c r="G145" s="113">
        <f>SUM(H145:BB145)</f>
        <v>-136674.415125</v>
      </c>
      <c r="H145" s="113">
        <f t="shared" ref="H145:AB145" si="108">-(H16*0.25)</f>
        <v>-4269.6331250000003</v>
      </c>
      <c r="I145" s="113">
        <f t="shared" si="108"/>
        <v>-275</v>
      </c>
      <c r="J145" s="113">
        <f t="shared" si="108"/>
        <v>-2850</v>
      </c>
      <c r="K145" s="113">
        <f t="shared" si="108"/>
        <v>-3673.0173599999998</v>
      </c>
      <c r="L145" s="113">
        <f t="shared" si="108"/>
        <v>0</v>
      </c>
      <c r="M145" s="113">
        <f t="shared" si="108"/>
        <v>-7189.2526250000001</v>
      </c>
      <c r="N145" s="113">
        <f t="shared" si="108"/>
        <v>-1350</v>
      </c>
      <c r="O145" s="113">
        <f t="shared" si="108"/>
        <v>-1862.5</v>
      </c>
      <c r="P145" s="113">
        <f t="shared" si="108"/>
        <v>-7270.6928750000006</v>
      </c>
      <c r="Q145" s="113">
        <f t="shared" si="108"/>
        <v>-6916.0325000000012</v>
      </c>
      <c r="R145" s="113">
        <f t="shared" si="108"/>
        <v>-54842.5</v>
      </c>
      <c r="S145" s="113">
        <f t="shared" si="108"/>
        <v>-2750</v>
      </c>
      <c r="T145" s="113">
        <f t="shared" si="108"/>
        <v>-3760.606060606061</v>
      </c>
      <c r="U145" s="113">
        <f t="shared" si="108"/>
        <v>-33397.744250000003</v>
      </c>
      <c r="V145" s="113">
        <f t="shared" si="108"/>
        <v>-1375</v>
      </c>
      <c r="W145" s="113">
        <f t="shared" si="108"/>
        <v>-3225</v>
      </c>
      <c r="X145" s="113">
        <f t="shared" si="108"/>
        <v>-975</v>
      </c>
      <c r="Y145" s="113">
        <f t="shared" si="108"/>
        <v>-487.5</v>
      </c>
      <c r="Z145" s="113">
        <f t="shared" si="108"/>
        <v>-51.893939393939398</v>
      </c>
      <c r="AA145" s="113">
        <f t="shared" si="108"/>
        <v>-153.04239000000001</v>
      </c>
      <c r="AB145" s="113">
        <f t="shared" si="108"/>
        <v>0</v>
      </c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</row>
    <row r="146" spans="1:54" ht="31.5">
      <c r="A146" s="1"/>
      <c r="B146" s="83"/>
      <c r="C146" s="5" t="s">
        <v>171</v>
      </c>
      <c r="D146" s="84" t="s">
        <v>175</v>
      </c>
      <c r="E146" s="155"/>
      <c r="F146" s="155">
        <f t="shared" si="102"/>
        <v>472794</v>
      </c>
      <c r="G146" s="113">
        <f t="shared" si="52"/>
        <v>-472794</v>
      </c>
      <c r="H146" s="113">
        <f t="shared" ref="H146:AB146" si="109">-(H17*$D17+H22*$D22+H23*$D23+H24*$D24+H25*$D25+H26*$D26+H27*$D27+H29*$D29+H30*$D30+H31*$D31+H32*$D32+H33*$D33+H34*$D34+H36*$D36+H38*$D38+H39*$D39)</f>
        <v>-3240</v>
      </c>
      <c r="I146" s="113">
        <f t="shared" si="109"/>
        <v>-13754</v>
      </c>
      <c r="J146" s="113">
        <f t="shared" si="109"/>
        <v>-10038</v>
      </c>
      <c r="K146" s="113">
        <f t="shared" si="109"/>
        <v>-10490</v>
      </c>
      <c r="L146" s="113">
        <f t="shared" si="109"/>
        <v>-7720</v>
      </c>
      <c r="M146" s="113">
        <f t="shared" si="109"/>
        <v>-10582</v>
      </c>
      <c r="N146" s="113">
        <f t="shared" si="109"/>
        <v>-9782</v>
      </c>
      <c r="O146" s="113">
        <f t="shared" si="109"/>
        <v>-4028</v>
      </c>
      <c r="P146" s="113">
        <f t="shared" si="109"/>
        <v>-12748</v>
      </c>
      <c r="Q146" s="113">
        <f t="shared" si="109"/>
        <v>-15032</v>
      </c>
      <c r="R146" s="113">
        <f t="shared" si="109"/>
        <v>-36108</v>
      </c>
      <c r="S146" s="113">
        <f t="shared" si="109"/>
        <v>-7688</v>
      </c>
      <c r="T146" s="113">
        <f t="shared" si="109"/>
        <v>-6632</v>
      </c>
      <c r="U146" s="113">
        <f t="shared" si="109"/>
        <v>-11900</v>
      </c>
      <c r="V146" s="113">
        <f t="shared" si="109"/>
        <v>-2740</v>
      </c>
      <c r="W146" s="113">
        <f t="shared" si="109"/>
        <v>-10112</v>
      </c>
      <c r="X146" s="113">
        <f t="shared" si="109"/>
        <v>-300</v>
      </c>
      <c r="Y146" s="113">
        <f t="shared" si="109"/>
        <v>-137500</v>
      </c>
      <c r="Z146" s="113">
        <f>-(Z17*$D17+Z22*$D22+Z23*$D23+Z24*$D24+Z25*$D25+Z26*$D26+Z27*$D27+Z29*$D29+Z30*$D30+Z31*$D31+Z32*$D32+(Z33-440000)*$D33+Z34*$D34+Z36*$D36+Z38*$D38+Z39*$D39)</f>
        <v>-88200</v>
      </c>
      <c r="AA146" s="113">
        <f t="shared" si="109"/>
        <v>0</v>
      </c>
      <c r="AB146" s="113">
        <f t="shared" si="109"/>
        <v>-1000</v>
      </c>
      <c r="AC146" s="148"/>
      <c r="AD146" s="113">
        <f t="shared" ref="AD146:AL146" si="110">-(AD17*$D17+AD22*$D22+AD23*$D23+AD24*$D24+AD25*$D25+AD26*$D26+AD27*$D27+AD29*$D29+AD30*$D30+AD31*$D31+AD32*$D32+AD33*$D33+AD34*$D34+AD36*$D36+AD38*$D38+AD39*$D39)</f>
        <v>-3000</v>
      </c>
      <c r="AE146" s="113">
        <f t="shared" si="110"/>
        <v>-1500</v>
      </c>
      <c r="AF146" s="113">
        <f t="shared" si="110"/>
        <v>0</v>
      </c>
      <c r="AG146" s="113">
        <f t="shared" si="110"/>
        <v>0</v>
      </c>
      <c r="AH146" s="113">
        <f t="shared" si="110"/>
        <v>0</v>
      </c>
      <c r="AI146" s="113">
        <f t="shared" si="110"/>
        <v>0</v>
      </c>
      <c r="AJ146" s="113">
        <f t="shared" si="110"/>
        <v>0</v>
      </c>
      <c r="AK146" s="113">
        <f t="shared" si="110"/>
        <v>0</v>
      </c>
      <c r="AL146" s="113">
        <f t="shared" si="110"/>
        <v>-3600</v>
      </c>
      <c r="AM146" s="148"/>
      <c r="AN146" s="113">
        <f t="shared" ref="AN146:AS146" si="111">-(AN17*$D17+AN22*$D22+AN23*$D23+AN24*$D24+AN25*$D25+AN26*$D26+AN27*$D27+AN29*$D29+AN30*$D30+AN31*$D31+AN32*$D32+AN33*$D33+AN34*$D34+AN36*$D36+AN38*$D38+AN39*$D39)</f>
        <v>0</v>
      </c>
      <c r="AO146" s="113">
        <f t="shared" si="111"/>
        <v>0</v>
      </c>
      <c r="AP146" s="113">
        <f t="shared" si="111"/>
        <v>0</v>
      </c>
      <c r="AQ146" s="113">
        <f t="shared" si="111"/>
        <v>0</v>
      </c>
      <c r="AR146" s="113">
        <f t="shared" si="111"/>
        <v>0</v>
      </c>
      <c r="AS146" s="113">
        <f t="shared" si="111"/>
        <v>0</v>
      </c>
      <c r="AT146" s="148"/>
      <c r="AU146" s="148"/>
      <c r="AV146" s="113">
        <v>-15100</v>
      </c>
      <c r="AW146" s="113">
        <v>-50000</v>
      </c>
      <c r="AX146" s="148"/>
      <c r="AY146" s="148"/>
      <c r="AZ146" s="148"/>
      <c r="BA146" s="148"/>
      <c r="BB146" s="148"/>
    </row>
    <row r="147" spans="1:54" ht="15.75">
      <c r="A147" s="1"/>
      <c r="B147" s="369" t="s">
        <v>177</v>
      </c>
      <c r="C147" s="370"/>
      <c r="D147" s="84"/>
      <c r="E147" s="115">
        <f>SUBTOTAL(9,E148:E152)</f>
        <v>0</v>
      </c>
      <c r="F147" s="115">
        <f>SUBTOTAL(9,F148:F152)</f>
        <v>-19784759.199048072</v>
      </c>
      <c r="G147" s="115">
        <f t="shared" ref="G147:BB147" si="112">SUBTOTAL(9,G148:G152)</f>
        <v>19784759.199048072</v>
      </c>
      <c r="H147" s="115">
        <f t="shared" si="112"/>
        <v>262244.03712980601</v>
      </c>
      <c r="I147" s="115">
        <f t="shared" si="112"/>
        <v>1033145.3588349007</v>
      </c>
      <c r="J147" s="115">
        <f t="shared" si="112"/>
        <v>755787.01479798253</v>
      </c>
      <c r="K147" s="115">
        <f t="shared" si="112"/>
        <v>692025.27297470625</v>
      </c>
      <c r="L147" s="115">
        <f t="shared" si="112"/>
        <v>-115681.8312932743</v>
      </c>
      <c r="M147" s="115">
        <f t="shared" si="112"/>
        <v>-60960.59680035169</v>
      </c>
      <c r="N147" s="115">
        <f t="shared" si="112"/>
        <v>489716.63707388862</v>
      </c>
      <c r="O147" s="115">
        <f t="shared" si="112"/>
        <v>1008614.8887663609</v>
      </c>
      <c r="P147" s="115">
        <f t="shared" si="112"/>
        <v>1670491.1100420007</v>
      </c>
      <c r="Q147" s="115">
        <f t="shared" si="112"/>
        <v>-185599.15574116562</v>
      </c>
      <c r="R147" s="115">
        <f t="shared" si="112"/>
        <v>-146900.43207089079</v>
      </c>
      <c r="S147" s="115">
        <f t="shared" si="112"/>
        <v>423910.57471961621</v>
      </c>
      <c r="T147" s="115">
        <f t="shared" si="112"/>
        <v>1240192.5129820711</v>
      </c>
      <c r="U147" s="115">
        <f t="shared" si="112"/>
        <v>1716628.6012058246</v>
      </c>
      <c r="V147" s="115">
        <f t="shared" si="112"/>
        <v>1222794.7135172328</v>
      </c>
      <c r="W147" s="115">
        <f t="shared" si="112"/>
        <v>-146352.83032551123</v>
      </c>
      <c r="X147" s="115">
        <f t="shared" si="112"/>
        <v>999949.29999999993</v>
      </c>
      <c r="Y147" s="115">
        <f t="shared" si="112"/>
        <v>-97.494727271556386</v>
      </c>
      <c r="Z147" s="115">
        <f t="shared" si="112"/>
        <v>-230.34974025139039</v>
      </c>
      <c r="AA147" s="115">
        <f t="shared" si="112"/>
        <v>359813.72775605018</v>
      </c>
      <c r="AB147" s="115">
        <f t="shared" si="112"/>
        <v>2825000</v>
      </c>
      <c r="AC147" s="115">
        <f t="shared" si="112"/>
        <v>315118.13994635007</v>
      </c>
      <c r="AD147" s="115">
        <f t="shared" si="112"/>
        <v>160000</v>
      </c>
      <c r="AE147" s="115">
        <f t="shared" si="112"/>
        <v>160000</v>
      </c>
      <c r="AF147" s="115">
        <f t="shared" si="112"/>
        <v>150000</v>
      </c>
      <c r="AG147" s="115">
        <f t="shared" si="112"/>
        <v>47600</v>
      </c>
      <c r="AH147" s="115">
        <f t="shared" si="112"/>
        <v>57000</v>
      </c>
      <c r="AI147" s="115">
        <f t="shared" si="112"/>
        <v>3345000</v>
      </c>
      <c r="AJ147" s="115">
        <f t="shared" si="112"/>
        <v>830000</v>
      </c>
      <c r="AK147" s="115">
        <f t="shared" si="112"/>
        <v>100000</v>
      </c>
      <c r="AL147" s="115">
        <f t="shared" si="112"/>
        <v>30550</v>
      </c>
      <c r="AM147" s="115">
        <f t="shared" si="112"/>
        <v>0</v>
      </c>
      <c r="AN147" s="115">
        <f t="shared" si="112"/>
        <v>195000</v>
      </c>
      <c r="AO147" s="115">
        <f t="shared" si="112"/>
        <v>95000</v>
      </c>
      <c r="AP147" s="115">
        <f t="shared" si="112"/>
        <v>95000</v>
      </c>
      <c r="AQ147" s="115">
        <f t="shared" si="112"/>
        <v>10000</v>
      </c>
      <c r="AR147" s="115">
        <f t="shared" si="112"/>
        <v>150000</v>
      </c>
      <c r="AS147" s="115">
        <f t="shared" si="112"/>
        <v>0</v>
      </c>
      <c r="AT147" s="115">
        <f t="shared" si="112"/>
        <v>0</v>
      </c>
      <c r="AU147" s="115">
        <f t="shared" si="112"/>
        <v>0</v>
      </c>
      <c r="AV147" s="115">
        <f t="shared" si="112"/>
        <v>0</v>
      </c>
      <c r="AW147" s="115">
        <f t="shared" si="112"/>
        <v>0</v>
      </c>
      <c r="AX147" s="115">
        <f t="shared" si="112"/>
        <v>0</v>
      </c>
      <c r="AY147" s="115">
        <f t="shared" si="112"/>
        <v>0</v>
      </c>
      <c r="AZ147" s="115">
        <f t="shared" si="112"/>
        <v>0</v>
      </c>
      <c r="BA147" s="115">
        <f t="shared" si="112"/>
        <v>0</v>
      </c>
      <c r="BB147" s="115">
        <f t="shared" si="112"/>
        <v>0</v>
      </c>
    </row>
    <row r="148" spans="1:54" ht="31.5">
      <c r="A148" s="1"/>
      <c r="B148" s="83"/>
      <c r="C148" s="5" t="s">
        <v>192</v>
      </c>
      <c r="D148" s="85">
        <v>1.2999999999999999E-2</v>
      </c>
      <c r="E148" s="155"/>
      <c r="F148" s="155">
        <f>E148-G148</f>
        <v>0</v>
      </c>
      <c r="G148" s="113">
        <f>SUM(H148:BB148)</f>
        <v>0</v>
      </c>
      <c r="H148" s="113">
        <f t="shared" ref="H148:AB148" si="113">-(H8+H12+H16)*1.3%</f>
        <v>-1923.5073303538961</v>
      </c>
      <c r="I148" s="113">
        <f t="shared" si="113"/>
        <v>-13099.158504973391</v>
      </c>
      <c r="J148" s="113">
        <f t="shared" si="113"/>
        <v>-7422.3010240497979</v>
      </c>
      <c r="K148" s="113">
        <f t="shared" si="113"/>
        <v>-5502.8927560228376</v>
      </c>
      <c r="L148" s="113">
        <f t="shared" si="113"/>
        <v>-59559.382313682458</v>
      </c>
      <c r="M148" s="113">
        <f t="shared" si="113"/>
        <v>-20200.959612143073</v>
      </c>
      <c r="N148" s="113">
        <f t="shared" si="113"/>
        <v>-10186.527738906909</v>
      </c>
      <c r="O148" s="113">
        <f t="shared" si="113"/>
        <v>-4424.9352838782152</v>
      </c>
      <c r="P148" s="113">
        <f t="shared" si="113"/>
        <v>-21671.185740095982</v>
      </c>
      <c r="Q148" s="113">
        <f t="shared" si="113"/>
        <v>-27039.065038217781</v>
      </c>
      <c r="R148" s="113">
        <f t="shared" si="113"/>
        <v>-50471.860642319363</v>
      </c>
      <c r="S148" s="113">
        <f t="shared" si="113"/>
        <v>-9447.0693097034527</v>
      </c>
      <c r="T148" s="113">
        <f t="shared" si="113"/>
        <v>-10992.10405073043</v>
      </c>
      <c r="U148" s="113">
        <f t="shared" si="113"/>
        <v>-32841.533961001762</v>
      </c>
      <c r="V148" s="113">
        <f t="shared" si="113"/>
        <v>-12068.803254080354</v>
      </c>
      <c r="W148" s="113">
        <f t="shared" si="113"/>
        <v>-27702.036674717561</v>
      </c>
      <c r="X148" s="113">
        <f t="shared" si="113"/>
        <v>-50.7</v>
      </c>
      <c r="Y148" s="113">
        <f t="shared" si="113"/>
        <v>-97.494727271556386</v>
      </c>
      <c r="Z148" s="113">
        <f t="shared" si="113"/>
        <v>-230.34974025139039</v>
      </c>
      <c r="AA148" s="113">
        <f t="shared" si="113"/>
        <v>-186.27224394980757</v>
      </c>
      <c r="AB148" s="113">
        <f t="shared" si="113"/>
        <v>0</v>
      </c>
      <c r="AC148" s="152">
        <f>-SUM(H148:AB148)</f>
        <v>315118.13994635007</v>
      </c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</row>
    <row r="149" spans="1:54" ht="31.5">
      <c r="A149" s="1"/>
      <c r="B149" s="83"/>
      <c r="C149" s="5" t="s">
        <v>164</v>
      </c>
      <c r="D149" s="85"/>
      <c r="E149" s="155"/>
      <c r="F149" s="155">
        <f>E149-G149</f>
        <v>0</v>
      </c>
      <c r="G149" s="113">
        <f t="shared" si="52"/>
        <v>0</v>
      </c>
      <c r="H149" s="113">
        <v>-4591.8367346938776</v>
      </c>
      <c r="I149" s="113">
        <v>-63492.063492063491</v>
      </c>
      <c r="J149" s="113">
        <v>-35147.392290249431</v>
      </c>
      <c r="K149" s="113">
        <v>-36904.761904761901</v>
      </c>
      <c r="L149" s="113">
        <v>-56122.448979591834</v>
      </c>
      <c r="M149" s="113">
        <v>-40759.637188208617</v>
      </c>
      <c r="N149" s="113">
        <v>-52380.952380952382</v>
      </c>
      <c r="O149" s="113">
        <v>-21031.746031746032</v>
      </c>
      <c r="P149" s="113">
        <v>-96598.639455782308</v>
      </c>
      <c r="Q149" s="113">
        <v>-158560.09070294784</v>
      </c>
      <c r="R149" s="113">
        <v>-96428.571428571435</v>
      </c>
      <c r="S149" s="113">
        <v>-29421.768707482992</v>
      </c>
      <c r="T149" s="113">
        <v>-50283.446712018143</v>
      </c>
      <c r="U149" s="113">
        <v>-101247.16553287982</v>
      </c>
      <c r="V149" s="113">
        <v>-38378.684807256235</v>
      </c>
      <c r="W149" s="113">
        <v>-118650.79365079365</v>
      </c>
      <c r="X149" s="113">
        <f>-SUM(H149:W149)</f>
        <v>999999.99999999988</v>
      </c>
      <c r="Y149" s="113"/>
      <c r="Z149" s="113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</row>
    <row r="150" spans="1:54" s="200" customFormat="1" ht="31.5">
      <c r="A150" s="191"/>
      <c r="B150" s="192"/>
      <c r="C150" s="193" t="s">
        <v>205</v>
      </c>
      <c r="D150" s="194"/>
      <c r="E150" s="195"/>
      <c r="F150" s="196">
        <f>E150-G150</f>
        <v>-9457209.4234523047</v>
      </c>
      <c r="G150" s="197">
        <f>SUM(H150:BB150)</f>
        <v>9457209.4234523047</v>
      </c>
      <c r="H150" s="216">
        <f>-H139</f>
        <v>164422.43102122413</v>
      </c>
      <c r="I150" s="216">
        <f>-I139-87425</f>
        <v>1109736.5808319375</v>
      </c>
      <c r="J150" s="216">
        <f>-J139</f>
        <v>572957.50797284138</v>
      </c>
      <c r="K150" s="216">
        <f>-K139</f>
        <v>512940.26810354571</v>
      </c>
      <c r="L150" s="216"/>
      <c r="M150" s="216"/>
      <c r="N150" s="216">
        <f>-N139</f>
        <v>552284.11719374789</v>
      </c>
      <c r="O150" s="216">
        <f>-O139</f>
        <v>686979.44888093858</v>
      </c>
      <c r="P150" s="216">
        <f>-P139</f>
        <v>1574086.7626784958</v>
      </c>
      <c r="Q150" s="216"/>
      <c r="R150" s="216"/>
      <c r="S150" s="216">
        <f>-S139</f>
        <v>437657.23206167767</v>
      </c>
      <c r="T150" s="216">
        <f>-T139</f>
        <v>934603.37652908161</v>
      </c>
      <c r="U150" s="216">
        <f>-U139</f>
        <v>1707905.4725467761</v>
      </c>
      <c r="V150" s="216">
        <f>-V139</f>
        <v>1203636.2256320384</v>
      </c>
      <c r="W150" s="216"/>
      <c r="X150" s="216"/>
      <c r="Y150" s="216"/>
      <c r="Z150" s="216"/>
      <c r="AA150" s="198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</row>
    <row r="151" spans="1:54" ht="31.5">
      <c r="A151" s="43"/>
      <c r="B151" s="138"/>
      <c r="C151" s="64" t="s">
        <v>206</v>
      </c>
      <c r="D151" s="139"/>
      <c r="E151" s="156"/>
      <c r="F151" s="155">
        <f>E151-G151</f>
        <v>-1717399.7755957691</v>
      </c>
      <c r="G151" s="113">
        <f>SUM(H151:BB151)</f>
        <v>1717399.7755957691</v>
      </c>
      <c r="H151" s="114">
        <f>-(H4-H53+H94)*0.19</f>
        <v>104336.95017362965</v>
      </c>
      <c r="I151" s="114"/>
      <c r="J151" s="114">
        <f>-(J4-J53+J94)*0.19+203+1900</f>
        <v>225399.20013944042</v>
      </c>
      <c r="K151" s="114">
        <f>-(K4-K53+K94)*0.19</f>
        <v>221492.6595319453</v>
      </c>
      <c r="L151" s="114"/>
      <c r="M151" s="114"/>
      <c r="N151" s="114"/>
      <c r="O151" s="114">
        <f>-(O4-O53+O94)*0.19</f>
        <v>347092.12120104663</v>
      </c>
      <c r="P151" s="114">
        <f>-(P4-P53+P94)*0.19</f>
        <v>214674.17255938301</v>
      </c>
      <c r="Q151" s="114"/>
      <c r="R151" s="114"/>
      <c r="S151" s="114">
        <f>-(S4-S53+S94)*0.19</f>
        <v>25122.180675124997</v>
      </c>
      <c r="T151" s="114">
        <f>-(T4-T53+T94)*0.19</f>
        <v>366864.68721573806</v>
      </c>
      <c r="U151" s="114">
        <f>-(U4-U53+U94)*0.19</f>
        <v>142811.82815293019</v>
      </c>
      <c r="V151" s="114">
        <f>-(V4-V53+V94)*0.19</f>
        <v>69605.975946530831</v>
      </c>
      <c r="W151" s="114"/>
      <c r="X151" s="114"/>
      <c r="Y151" s="114"/>
      <c r="Z151" s="114"/>
      <c r="AA151" s="149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</row>
    <row r="152" spans="1:54" ht="16.5" thickBot="1">
      <c r="A152" s="43"/>
      <c r="B152" s="138"/>
      <c r="C152" s="64" t="s">
        <v>189</v>
      </c>
      <c r="D152" s="140"/>
      <c r="E152" s="156"/>
      <c r="F152" s="155">
        <f>E152-G152</f>
        <v>-8610150</v>
      </c>
      <c r="G152" s="114">
        <f t="shared" si="52"/>
        <v>8610150</v>
      </c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>
        <v>360000</v>
      </c>
      <c r="AB152" s="113">
        <v>2825000</v>
      </c>
      <c r="AC152" s="113"/>
      <c r="AD152" s="113">
        <v>160000</v>
      </c>
      <c r="AE152" s="113">
        <v>160000</v>
      </c>
      <c r="AF152" s="113">
        <v>150000</v>
      </c>
      <c r="AG152" s="113">
        <v>47600</v>
      </c>
      <c r="AH152" s="113">
        <v>57000</v>
      </c>
      <c r="AI152" s="113">
        <v>3345000</v>
      </c>
      <c r="AJ152" s="113">
        <v>830000</v>
      </c>
      <c r="AK152" s="113">
        <v>100000</v>
      </c>
      <c r="AL152" s="113">
        <v>30550</v>
      </c>
      <c r="AM152" s="113"/>
      <c r="AN152" s="113">
        <v>195000</v>
      </c>
      <c r="AO152" s="113">
        <v>95000</v>
      </c>
      <c r="AP152" s="113">
        <v>95000</v>
      </c>
      <c r="AQ152" s="113">
        <v>10000</v>
      </c>
      <c r="AR152" s="113">
        <v>150000</v>
      </c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</row>
    <row r="153" spans="1:54" s="66" customFormat="1" ht="21.75" thickBot="1">
      <c r="A153" s="372" t="s">
        <v>190</v>
      </c>
      <c r="B153" s="373"/>
      <c r="C153" s="374"/>
      <c r="D153" s="47"/>
      <c r="E153" s="117">
        <f>SUBTOTAL(9,E154:E159)</f>
        <v>330987</v>
      </c>
      <c r="F153" s="117">
        <f>SUBTOTAL(9,F154:F159)</f>
        <v>0</v>
      </c>
      <c r="G153" s="117">
        <f t="shared" ref="G153:BB153" si="114">SUBTOTAL(9,G154:G159)</f>
        <v>330987</v>
      </c>
      <c r="H153" s="117">
        <f t="shared" si="114"/>
        <v>0</v>
      </c>
      <c r="I153" s="117">
        <f t="shared" si="114"/>
        <v>0</v>
      </c>
      <c r="J153" s="117">
        <f t="shared" si="114"/>
        <v>0</v>
      </c>
      <c r="K153" s="117">
        <f t="shared" si="114"/>
        <v>0</v>
      </c>
      <c r="L153" s="117">
        <f t="shared" si="114"/>
        <v>0</v>
      </c>
      <c r="M153" s="117">
        <f t="shared" si="114"/>
        <v>0</v>
      </c>
      <c r="N153" s="117">
        <f t="shared" si="114"/>
        <v>0</v>
      </c>
      <c r="O153" s="117">
        <f t="shared" si="114"/>
        <v>0</v>
      </c>
      <c r="P153" s="117">
        <f t="shared" si="114"/>
        <v>0</v>
      </c>
      <c r="Q153" s="117">
        <f t="shared" si="114"/>
        <v>0</v>
      </c>
      <c r="R153" s="117">
        <f t="shared" si="114"/>
        <v>0</v>
      </c>
      <c r="S153" s="117">
        <f t="shared" si="114"/>
        <v>0</v>
      </c>
      <c r="T153" s="117">
        <f t="shared" si="114"/>
        <v>0</v>
      </c>
      <c r="U153" s="117">
        <f t="shared" si="114"/>
        <v>0</v>
      </c>
      <c r="V153" s="117">
        <f t="shared" si="114"/>
        <v>0</v>
      </c>
      <c r="W153" s="117">
        <f t="shared" si="114"/>
        <v>0</v>
      </c>
      <c r="X153" s="117">
        <f t="shared" si="114"/>
        <v>0</v>
      </c>
      <c r="Y153" s="117">
        <f t="shared" si="114"/>
        <v>0</v>
      </c>
      <c r="Z153" s="117">
        <f t="shared" si="114"/>
        <v>0</v>
      </c>
      <c r="AA153" s="117">
        <f t="shared" si="114"/>
        <v>0</v>
      </c>
      <c r="AB153" s="117">
        <f t="shared" si="114"/>
        <v>0</v>
      </c>
      <c r="AC153" s="117">
        <f t="shared" si="114"/>
        <v>0</v>
      </c>
      <c r="AD153" s="117">
        <f t="shared" si="114"/>
        <v>0</v>
      </c>
      <c r="AE153" s="117">
        <f t="shared" si="114"/>
        <v>0</v>
      </c>
      <c r="AF153" s="117">
        <f t="shared" si="114"/>
        <v>0</v>
      </c>
      <c r="AG153" s="117">
        <f t="shared" si="114"/>
        <v>0</v>
      </c>
      <c r="AH153" s="117">
        <f t="shared" si="114"/>
        <v>0</v>
      </c>
      <c r="AI153" s="117">
        <f t="shared" si="114"/>
        <v>0</v>
      </c>
      <c r="AJ153" s="117">
        <f t="shared" si="114"/>
        <v>0</v>
      </c>
      <c r="AK153" s="117">
        <f t="shared" si="114"/>
        <v>0</v>
      </c>
      <c r="AL153" s="117">
        <f t="shared" si="114"/>
        <v>0</v>
      </c>
      <c r="AM153" s="117">
        <f t="shared" si="114"/>
        <v>0</v>
      </c>
      <c r="AN153" s="117">
        <f t="shared" si="114"/>
        <v>0</v>
      </c>
      <c r="AO153" s="117">
        <f t="shared" si="114"/>
        <v>0</v>
      </c>
      <c r="AP153" s="117">
        <f t="shared" si="114"/>
        <v>0</v>
      </c>
      <c r="AQ153" s="117">
        <f t="shared" si="114"/>
        <v>0</v>
      </c>
      <c r="AR153" s="117">
        <f t="shared" si="114"/>
        <v>0</v>
      </c>
      <c r="AS153" s="117">
        <f t="shared" si="114"/>
        <v>0</v>
      </c>
      <c r="AT153" s="117">
        <f t="shared" si="114"/>
        <v>0</v>
      </c>
      <c r="AU153" s="117">
        <f t="shared" si="114"/>
        <v>0</v>
      </c>
      <c r="AV153" s="117">
        <f t="shared" si="114"/>
        <v>0</v>
      </c>
      <c r="AW153" s="117">
        <f t="shared" si="114"/>
        <v>0</v>
      </c>
      <c r="AX153" s="117">
        <f t="shared" si="114"/>
        <v>0</v>
      </c>
      <c r="AY153" s="117">
        <f t="shared" si="114"/>
        <v>0</v>
      </c>
      <c r="AZ153" s="117">
        <f t="shared" si="114"/>
        <v>0</v>
      </c>
      <c r="BA153" s="117">
        <f t="shared" si="114"/>
        <v>0</v>
      </c>
      <c r="BB153" s="116">
        <f t="shared" si="114"/>
        <v>330987</v>
      </c>
    </row>
    <row r="154" spans="1:54" ht="15.75">
      <c r="A154" s="74">
        <v>8800</v>
      </c>
      <c r="B154" s="356" t="s">
        <v>51</v>
      </c>
      <c r="C154" s="357"/>
      <c r="D154" s="75"/>
      <c r="E154" s="115">
        <f t="shared" ref="E154:BB156" si="115">SUBTOTAL(9,E155:E155)</f>
        <v>0</v>
      </c>
      <c r="F154" s="115">
        <f t="shared" si="115"/>
        <v>0</v>
      </c>
      <c r="G154" s="115">
        <f t="shared" si="115"/>
        <v>0</v>
      </c>
      <c r="H154" s="115">
        <f t="shared" si="115"/>
        <v>0</v>
      </c>
      <c r="I154" s="115">
        <f t="shared" si="115"/>
        <v>0</v>
      </c>
      <c r="J154" s="115">
        <f t="shared" si="115"/>
        <v>0</v>
      </c>
      <c r="K154" s="115">
        <f t="shared" si="115"/>
        <v>0</v>
      </c>
      <c r="L154" s="115">
        <f t="shared" si="115"/>
        <v>0</v>
      </c>
      <c r="M154" s="115">
        <f t="shared" si="115"/>
        <v>0</v>
      </c>
      <c r="N154" s="115">
        <f t="shared" si="115"/>
        <v>0</v>
      </c>
      <c r="O154" s="115">
        <f t="shared" si="115"/>
        <v>0</v>
      </c>
      <c r="P154" s="115">
        <f t="shared" si="115"/>
        <v>0</v>
      </c>
      <c r="Q154" s="115">
        <f t="shared" si="115"/>
        <v>0</v>
      </c>
      <c r="R154" s="115">
        <f t="shared" si="115"/>
        <v>0</v>
      </c>
      <c r="S154" s="115">
        <f t="shared" si="115"/>
        <v>0</v>
      </c>
      <c r="T154" s="115">
        <f t="shared" si="115"/>
        <v>0</v>
      </c>
      <c r="U154" s="115">
        <f t="shared" si="115"/>
        <v>0</v>
      </c>
      <c r="V154" s="115">
        <f t="shared" si="115"/>
        <v>0</v>
      </c>
      <c r="W154" s="115">
        <f t="shared" si="115"/>
        <v>0</v>
      </c>
      <c r="X154" s="115">
        <f t="shared" si="115"/>
        <v>0</v>
      </c>
      <c r="Y154" s="115">
        <f t="shared" si="115"/>
        <v>0</v>
      </c>
      <c r="Z154" s="115">
        <f t="shared" si="115"/>
        <v>0</v>
      </c>
      <c r="AA154" s="115">
        <f t="shared" si="115"/>
        <v>0</v>
      </c>
      <c r="AB154" s="115">
        <f t="shared" si="115"/>
        <v>0</v>
      </c>
      <c r="AC154" s="115">
        <f t="shared" si="115"/>
        <v>0</v>
      </c>
      <c r="AD154" s="115">
        <f t="shared" si="115"/>
        <v>0</v>
      </c>
      <c r="AE154" s="115">
        <f t="shared" si="115"/>
        <v>0</v>
      </c>
      <c r="AF154" s="115">
        <f t="shared" si="115"/>
        <v>0</v>
      </c>
      <c r="AG154" s="115">
        <f t="shared" si="115"/>
        <v>0</v>
      </c>
      <c r="AH154" s="115">
        <f t="shared" si="115"/>
        <v>0</v>
      </c>
      <c r="AI154" s="115">
        <f t="shared" si="115"/>
        <v>0</v>
      </c>
      <c r="AJ154" s="115">
        <f t="shared" si="115"/>
        <v>0</v>
      </c>
      <c r="AK154" s="115">
        <f t="shared" si="115"/>
        <v>0</v>
      </c>
      <c r="AL154" s="115">
        <f t="shared" si="115"/>
        <v>0</v>
      </c>
      <c r="AM154" s="115">
        <f t="shared" si="115"/>
        <v>0</v>
      </c>
      <c r="AN154" s="115">
        <f t="shared" si="115"/>
        <v>0</v>
      </c>
      <c r="AO154" s="115">
        <f t="shared" si="115"/>
        <v>0</v>
      </c>
      <c r="AP154" s="115">
        <f t="shared" si="115"/>
        <v>0</v>
      </c>
      <c r="AQ154" s="115">
        <f t="shared" si="115"/>
        <v>0</v>
      </c>
      <c r="AR154" s="115">
        <f t="shared" si="115"/>
        <v>0</v>
      </c>
      <c r="AS154" s="115">
        <f t="shared" si="115"/>
        <v>0</v>
      </c>
      <c r="AT154" s="115">
        <f t="shared" si="115"/>
        <v>0</v>
      </c>
      <c r="AU154" s="115">
        <f t="shared" si="115"/>
        <v>0</v>
      </c>
      <c r="AV154" s="115">
        <f t="shared" si="115"/>
        <v>0</v>
      </c>
      <c r="AW154" s="115">
        <f t="shared" si="115"/>
        <v>0</v>
      </c>
      <c r="AX154" s="115">
        <f t="shared" si="115"/>
        <v>0</v>
      </c>
      <c r="AY154" s="115">
        <f t="shared" si="115"/>
        <v>0</v>
      </c>
      <c r="AZ154" s="115">
        <f t="shared" si="115"/>
        <v>0</v>
      </c>
      <c r="BA154" s="115">
        <f t="shared" si="115"/>
        <v>0</v>
      </c>
      <c r="BB154" s="115">
        <f t="shared" si="115"/>
        <v>0</v>
      </c>
    </row>
    <row r="155" spans="1:54" ht="31.5">
      <c r="A155" s="1"/>
      <c r="B155" s="4">
        <v>8803</v>
      </c>
      <c r="C155" s="5" t="s">
        <v>52</v>
      </c>
      <c r="D155" s="3"/>
      <c r="E155" s="113"/>
      <c r="F155" s="113"/>
      <c r="G155" s="113">
        <f t="shared" si="52"/>
        <v>0</v>
      </c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</row>
    <row r="156" spans="1:54" ht="15.75">
      <c r="A156" s="33">
        <v>8900</v>
      </c>
      <c r="B156" s="358" t="s">
        <v>51</v>
      </c>
      <c r="C156" s="359"/>
      <c r="D156" s="77"/>
      <c r="E156" s="112">
        <f t="shared" si="115"/>
        <v>330987</v>
      </c>
      <c r="F156" s="112">
        <f t="shared" si="115"/>
        <v>0</v>
      </c>
      <c r="G156" s="112">
        <f t="shared" si="115"/>
        <v>330987</v>
      </c>
      <c r="H156" s="112">
        <f t="shared" si="115"/>
        <v>0</v>
      </c>
      <c r="I156" s="112">
        <f t="shared" si="115"/>
        <v>0</v>
      </c>
      <c r="J156" s="112">
        <f t="shared" si="115"/>
        <v>0</v>
      </c>
      <c r="K156" s="112">
        <f t="shared" si="115"/>
        <v>0</v>
      </c>
      <c r="L156" s="112">
        <f t="shared" si="115"/>
        <v>0</v>
      </c>
      <c r="M156" s="112">
        <f t="shared" si="115"/>
        <v>0</v>
      </c>
      <c r="N156" s="112">
        <f t="shared" si="115"/>
        <v>0</v>
      </c>
      <c r="O156" s="112">
        <f t="shared" si="115"/>
        <v>0</v>
      </c>
      <c r="P156" s="112">
        <f t="shared" si="115"/>
        <v>0</v>
      </c>
      <c r="Q156" s="112">
        <f t="shared" si="115"/>
        <v>0</v>
      </c>
      <c r="R156" s="112">
        <f t="shared" si="115"/>
        <v>0</v>
      </c>
      <c r="S156" s="112">
        <f t="shared" si="115"/>
        <v>0</v>
      </c>
      <c r="T156" s="112">
        <f t="shared" si="115"/>
        <v>0</v>
      </c>
      <c r="U156" s="112">
        <f t="shared" si="115"/>
        <v>0</v>
      </c>
      <c r="V156" s="112">
        <f t="shared" si="115"/>
        <v>0</v>
      </c>
      <c r="W156" s="112">
        <f t="shared" si="115"/>
        <v>0</v>
      </c>
      <c r="X156" s="112">
        <f t="shared" si="115"/>
        <v>0</v>
      </c>
      <c r="Y156" s="112">
        <f t="shared" si="115"/>
        <v>0</v>
      </c>
      <c r="Z156" s="112">
        <f t="shared" si="115"/>
        <v>0</v>
      </c>
      <c r="AA156" s="112">
        <f t="shared" si="115"/>
        <v>0</v>
      </c>
      <c r="AB156" s="112">
        <f t="shared" si="115"/>
        <v>0</v>
      </c>
      <c r="AC156" s="112">
        <f t="shared" si="115"/>
        <v>0</v>
      </c>
      <c r="AD156" s="112">
        <f t="shared" si="115"/>
        <v>0</v>
      </c>
      <c r="AE156" s="112">
        <f t="shared" si="115"/>
        <v>0</v>
      </c>
      <c r="AF156" s="112">
        <f t="shared" si="115"/>
        <v>0</v>
      </c>
      <c r="AG156" s="112">
        <f t="shared" si="115"/>
        <v>0</v>
      </c>
      <c r="AH156" s="112">
        <f t="shared" si="115"/>
        <v>0</v>
      </c>
      <c r="AI156" s="112">
        <f t="shared" si="115"/>
        <v>0</v>
      </c>
      <c r="AJ156" s="112">
        <f t="shared" si="115"/>
        <v>0</v>
      </c>
      <c r="AK156" s="112">
        <f t="shared" si="115"/>
        <v>0</v>
      </c>
      <c r="AL156" s="112">
        <f t="shared" si="115"/>
        <v>0</v>
      </c>
      <c r="AM156" s="112">
        <f t="shared" si="115"/>
        <v>0</v>
      </c>
      <c r="AN156" s="112">
        <f t="shared" si="115"/>
        <v>0</v>
      </c>
      <c r="AO156" s="112">
        <f t="shared" si="115"/>
        <v>0</v>
      </c>
      <c r="AP156" s="112">
        <f t="shared" si="115"/>
        <v>0</v>
      </c>
      <c r="AQ156" s="112">
        <f t="shared" si="115"/>
        <v>0</v>
      </c>
      <c r="AR156" s="112">
        <f t="shared" si="115"/>
        <v>0</v>
      </c>
      <c r="AS156" s="112">
        <f t="shared" si="115"/>
        <v>0</v>
      </c>
      <c r="AT156" s="112">
        <f t="shared" si="115"/>
        <v>0</v>
      </c>
      <c r="AU156" s="112">
        <f t="shared" si="115"/>
        <v>0</v>
      </c>
      <c r="AV156" s="112">
        <f t="shared" si="115"/>
        <v>0</v>
      </c>
      <c r="AW156" s="112">
        <f t="shared" si="115"/>
        <v>0</v>
      </c>
      <c r="AX156" s="112">
        <f t="shared" si="115"/>
        <v>0</v>
      </c>
      <c r="AY156" s="112">
        <f t="shared" si="115"/>
        <v>0</v>
      </c>
      <c r="AZ156" s="112">
        <f t="shared" si="115"/>
        <v>0</v>
      </c>
      <c r="BA156" s="112">
        <f t="shared" si="115"/>
        <v>0</v>
      </c>
      <c r="BB156" s="112">
        <f t="shared" si="115"/>
        <v>330987</v>
      </c>
    </row>
    <row r="157" spans="1:54" ht="31.5">
      <c r="A157" s="22"/>
      <c r="B157" s="4">
        <v>8903</v>
      </c>
      <c r="C157" s="5" t="s">
        <v>53</v>
      </c>
      <c r="D157" s="3"/>
      <c r="E157" s="113">
        <v>330987</v>
      </c>
      <c r="F157" s="113"/>
      <c r="G157" s="113">
        <f t="shared" si="52"/>
        <v>330987</v>
      </c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>
        <v>330987</v>
      </c>
    </row>
    <row r="158" spans="1:54" ht="15.75">
      <c r="A158" s="33"/>
      <c r="B158" s="371" t="s">
        <v>183</v>
      </c>
      <c r="C158" s="371"/>
      <c r="D158" s="167"/>
      <c r="E158" s="112">
        <f t="shared" ref="E158:BB158" si="116">SUBTOTAL(9,E159:E159)</f>
        <v>0</v>
      </c>
      <c r="F158" s="112">
        <f t="shared" si="116"/>
        <v>0</v>
      </c>
      <c r="G158" s="112">
        <f t="shared" si="116"/>
        <v>0</v>
      </c>
      <c r="H158" s="112">
        <f t="shared" si="116"/>
        <v>0</v>
      </c>
      <c r="I158" s="112">
        <f t="shared" si="116"/>
        <v>0</v>
      </c>
      <c r="J158" s="112">
        <f t="shared" si="116"/>
        <v>0</v>
      </c>
      <c r="K158" s="112">
        <f t="shared" si="116"/>
        <v>0</v>
      </c>
      <c r="L158" s="112">
        <f t="shared" si="116"/>
        <v>0</v>
      </c>
      <c r="M158" s="112">
        <f t="shared" si="116"/>
        <v>0</v>
      </c>
      <c r="N158" s="112">
        <f t="shared" si="116"/>
        <v>0</v>
      </c>
      <c r="O158" s="112">
        <f t="shared" si="116"/>
        <v>0</v>
      </c>
      <c r="P158" s="112">
        <f t="shared" si="116"/>
        <v>0</v>
      </c>
      <c r="Q158" s="112">
        <f t="shared" si="116"/>
        <v>0</v>
      </c>
      <c r="R158" s="112">
        <f t="shared" si="116"/>
        <v>0</v>
      </c>
      <c r="S158" s="112">
        <f t="shared" si="116"/>
        <v>0</v>
      </c>
      <c r="T158" s="112">
        <f t="shared" si="116"/>
        <v>0</v>
      </c>
      <c r="U158" s="112">
        <f t="shared" si="116"/>
        <v>0</v>
      </c>
      <c r="V158" s="112">
        <f t="shared" si="116"/>
        <v>0</v>
      </c>
      <c r="W158" s="112">
        <f t="shared" si="116"/>
        <v>0</v>
      </c>
      <c r="X158" s="112">
        <f t="shared" si="116"/>
        <v>0</v>
      </c>
      <c r="Y158" s="112">
        <f t="shared" si="116"/>
        <v>0</v>
      </c>
      <c r="Z158" s="112">
        <f t="shared" si="116"/>
        <v>0</v>
      </c>
      <c r="AA158" s="112">
        <f t="shared" si="116"/>
        <v>0</v>
      </c>
      <c r="AB158" s="112">
        <f t="shared" si="116"/>
        <v>0</v>
      </c>
      <c r="AC158" s="112">
        <f t="shared" si="116"/>
        <v>0</v>
      </c>
      <c r="AD158" s="112">
        <f t="shared" si="116"/>
        <v>0</v>
      </c>
      <c r="AE158" s="112">
        <f t="shared" si="116"/>
        <v>0</v>
      </c>
      <c r="AF158" s="112">
        <f t="shared" si="116"/>
        <v>0</v>
      </c>
      <c r="AG158" s="112">
        <f t="shared" si="116"/>
        <v>0</v>
      </c>
      <c r="AH158" s="112">
        <f t="shared" si="116"/>
        <v>0</v>
      </c>
      <c r="AI158" s="112">
        <f t="shared" si="116"/>
        <v>0</v>
      </c>
      <c r="AJ158" s="112">
        <f t="shared" si="116"/>
        <v>0</v>
      </c>
      <c r="AK158" s="112">
        <f t="shared" si="116"/>
        <v>0</v>
      </c>
      <c r="AL158" s="112">
        <f t="shared" si="116"/>
        <v>0</v>
      </c>
      <c r="AM158" s="112">
        <f t="shared" si="116"/>
        <v>0</v>
      </c>
      <c r="AN158" s="112">
        <f t="shared" si="116"/>
        <v>0</v>
      </c>
      <c r="AO158" s="112">
        <f t="shared" si="116"/>
        <v>0</v>
      </c>
      <c r="AP158" s="112">
        <f t="shared" si="116"/>
        <v>0</v>
      </c>
      <c r="AQ158" s="112">
        <f t="shared" si="116"/>
        <v>0</v>
      </c>
      <c r="AR158" s="112">
        <f t="shared" si="116"/>
        <v>0</v>
      </c>
      <c r="AS158" s="112">
        <f t="shared" si="116"/>
        <v>0</v>
      </c>
      <c r="AT158" s="112">
        <f t="shared" si="116"/>
        <v>0</v>
      </c>
      <c r="AU158" s="112">
        <f t="shared" si="116"/>
        <v>0</v>
      </c>
      <c r="AV158" s="112">
        <f t="shared" si="116"/>
        <v>0</v>
      </c>
      <c r="AW158" s="112">
        <f t="shared" si="116"/>
        <v>0</v>
      </c>
      <c r="AX158" s="112">
        <f t="shared" si="116"/>
        <v>0</v>
      </c>
      <c r="AY158" s="112">
        <f t="shared" si="116"/>
        <v>0</v>
      </c>
      <c r="AZ158" s="112">
        <f t="shared" si="116"/>
        <v>0</v>
      </c>
      <c r="BA158" s="112">
        <f t="shared" si="116"/>
        <v>0</v>
      </c>
      <c r="BB158" s="112">
        <f t="shared" si="116"/>
        <v>0</v>
      </c>
    </row>
    <row r="159" spans="1:54" ht="32.25" thickBot="1">
      <c r="A159" s="1"/>
      <c r="B159" s="4"/>
      <c r="C159" s="5" t="s">
        <v>194</v>
      </c>
      <c r="D159" s="9"/>
      <c r="E159" s="113"/>
      <c r="F159" s="113"/>
      <c r="G159" s="113">
        <f t="shared" si="52"/>
        <v>0</v>
      </c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</row>
    <row r="160" spans="1:54" s="87" customFormat="1" ht="21.75" thickBot="1">
      <c r="A160" s="46" t="s">
        <v>95</v>
      </c>
      <c r="B160" s="47"/>
      <c r="C160" s="86"/>
      <c r="D160" s="47"/>
      <c r="E160" s="119">
        <f t="shared" ref="E160:AJ160" si="117">E4-E53+E94+E138+E153</f>
        <v>-17884743.081049979</v>
      </c>
      <c r="F160" s="119">
        <f t="shared" si="117"/>
        <v>0.17865643184632063</v>
      </c>
      <c r="G160" s="119">
        <f t="shared" si="117"/>
        <v>-17884743.259706423</v>
      </c>
      <c r="H160" s="119">
        <f t="shared" si="117"/>
        <v>-451320.23691052152</v>
      </c>
      <c r="I160" s="119">
        <f t="shared" si="117"/>
        <v>-0.36839728732593358</v>
      </c>
      <c r="J160" s="119">
        <f t="shared" si="117"/>
        <v>-992413.65180349257</v>
      </c>
      <c r="K160" s="119">
        <f t="shared" si="117"/>
        <v>-986665.83477065689</v>
      </c>
      <c r="L160" s="119">
        <f t="shared" si="117"/>
        <v>1856178.7249083272</v>
      </c>
      <c r="M160" s="119">
        <f t="shared" si="117"/>
        <v>-731469.14937853406</v>
      </c>
      <c r="N160" s="119">
        <f t="shared" si="117"/>
        <v>-33222.171344867907</v>
      </c>
      <c r="O160" s="119">
        <f t="shared" si="117"/>
        <v>-1505165.198014823</v>
      </c>
      <c r="P160" s="119">
        <f t="shared" si="117"/>
        <v>-1033459.7187385111</v>
      </c>
      <c r="Q160" s="119">
        <f t="shared" si="117"/>
        <v>2221775.7136780196</v>
      </c>
      <c r="R160" s="119">
        <f t="shared" si="117"/>
        <v>1156104.617337645</v>
      </c>
      <c r="S160" s="119">
        <f t="shared" si="117"/>
        <v>-145968.66089535097</v>
      </c>
      <c r="T160" s="119">
        <f t="shared" si="117"/>
        <v>-1625277.6383666846</v>
      </c>
      <c r="U160" s="119">
        <f t="shared" si="117"/>
        <v>-742918.07214584714</v>
      </c>
      <c r="V160" s="119">
        <f t="shared" si="117"/>
        <v>-347188.75393865246</v>
      </c>
      <c r="W160" s="119">
        <f t="shared" si="117"/>
        <v>-656816.06665998371</v>
      </c>
      <c r="X160" s="119">
        <f t="shared" si="117"/>
        <v>-24762.851000000141</v>
      </c>
      <c r="Y160" s="119">
        <f t="shared" si="117"/>
        <v>366534.24939297326</v>
      </c>
      <c r="Z160" s="119">
        <f t="shared" si="117"/>
        <v>-174194.27925628782</v>
      </c>
      <c r="AA160" s="119">
        <f t="shared" si="117"/>
        <v>313.49115175427869</v>
      </c>
      <c r="AB160" s="119">
        <f t="shared" si="117"/>
        <v>483</v>
      </c>
      <c r="AC160" s="119">
        <f>AC4-AC53+AC94+AC138+AC153</f>
        <v>-0.49755364994052798</v>
      </c>
      <c r="AD160" s="119">
        <f t="shared" si="117"/>
        <v>-2791.5425000000105</v>
      </c>
      <c r="AE160" s="119">
        <f t="shared" si="117"/>
        <v>-1528.452500000014</v>
      </c>
      <c r="AF160" s="119">
        <f t="shared" si="117"/>
        <v>362.58749999999418</v>
      </c>
      <c r="AG160" s="119">
        <f t="shared" si="117"/>
        <v>183.34500000000116</v>
      </c>
      <c r="AH160" s="119">
        <f t="shared" si="117"/>
        <v>167.71349999999802</v>
      </c>
      <c r="AI160" s="119">
        <f t="shared" si="117"/>
        <v>-1237.1919999998063</v>
      </c>
      <c r="AJ160" s="119">
        <f t="shared" si="117"/>
        <v>-1156.2199999999721</v>
      </c>
      <c r="AK160" s="119">
        <f t="shared" ref="AK160:BB160" si="118">AK4-AK53+AK94+AK138+AK153</f>
        <v>1367.3899999999994</v>
      </c>
      <c r="AL160" s="119">
        <f t="shared" si="118"/>
        <v>-981.52500000000146</v>
      </c>
      <c r="AM160" s="119">
        <f t="shared" si="118"/>
        <v>-6968218.5759999976</v>
      </c>
      <c r="AN160" s="119">
        <f t="shared" si="118"/>
        <v>-600.04999999998836</v>
      </c>
      <c r="AO160" s="119">
        <f t="shared" si="118"/>
        <v>-873.83999999999651</v>
      </c>
      <c r="AP160" s="119">
        <f t="shared" si="118"/>
        <v>-1091.3999999999942</v>
      </c>
      <c r="AQ160" s="119">
        <f t="shared" si="118"/>
        <v>-107.22875000000204</v>
      </c>
      <c r="AR160" s="119">
        <f t="shared" si="118"/>
        <v>1227.5712500000081</v>
      </c>
      <c r="AS160" s="119">
        <f t="shared" si="118"/>
        <v>-3327676.95</v>
      </c>
      <c r="AT160" s="119">
        <f t="shared" si="118"/>
        <v>-170478.7</v>
      </c>
      <c r="AU160" s="119">
        <f t="shared" si="118"/>
        <v>0</v>
      </c>
      <c r="AV160" s="119">
        <f t="shared" si="118"/>
        <v>0.25</v>
      </c>
      <c r="AW160" s="119">
        <f t="shared" si="118"/>
        <v>-417353.25</v>
      </c>
      <c r="AX160" s="119">
        <f t="shared" si="118"/>
        <v>1725.6374999999534</v>
      </c>
      <c r="AY160" s="119">
        <f t="shared" si="118"/>
        <v>-7074757.4749999996</v>
      </c>
      <c r="AZ160" s="119">
        <f t="shared" si="118"/>
        <v>13</v>
      </c>
      <c r="BA160" s="119">
        <f t="shared" si="118"/>
        <v>0</v>
      </c>
      <c r="BB160" s="118">
        <f t="shared" si="118"/>
        <v>3928515</v>
      </c>
    </row>
    <row r="161" spans="1:54" s="66" customFormat="1" ht="21">
      <c r="A161" s="88"/>
      <c r="B161" s="367" t="s">
        <v>184</v>
      </c>
      <c r="C161" s="367"/>
      <c r="D161" s="1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0"/>
    </row>
    <row r="162" spans="1:54" s="154" customFormat="1" ht="20.25">
      <c r="A162" s="212"/>
      <c r="B162" s="150"/>
      <c r="C162" s="151" t="s">
        <v>200</v>
      </c>
      <c r="D162" s="151"/>
      <c r="E162" s="157">
        <v>23884353</v>
      </c>
      <c r="F162" s="155">
        <f>E162-G162</f>
        <v>0</v>
      </c>
      <c r="G162" s="152">
        <f t="shared" si="52"/>
        <v>23884353</v>
      </c>
      <c r="H162" s="190">
        <v>0</v>
      </c>
      <c r="I162" s="190">
        <v>0</v>
      </c>
      <c r="J162" s="190">
        <v>0</v>
      </c>
      <c r="K162" s="190">
        <v>0</v>
      </c>
      <c r="L162" s="190">
        <v>0</v>
      </c>
      <c r="M162" s="190">
        <v>0</v>
      </c>
      <c r="N162" s="190">
        <v>0</v>
      </c>
      <c r="O162" s="190">
        <v>0</v>
      </c>
      <c r="P162" s="190">
        <v>0</v>
      </c>
      <c r="Q162" s="190">
        <v>0</v>
      </c>
      <c r="R162" s="190">
        <v>0</v>
      </c>
      <c r="S162" s="190">
        <v>0</v>
      </c>
      <c r="T162" s="190">
        <v>0</v>
      </c>
      <c r="U162" s="190">
        <v>0</v>
      </c>
      <c r="V162" s="190">
        <v>0</v>
      </c>
      <c r="W162" s="190">
        <v>0</v>
      </c>
      <c r="X162" s="190">
        <v>0</v>
      </c>
      <c r="Y162" s="190">
        <v>0</v>
      </c>
      <c r="Z162" s="190">
        <v>0</v>
      </c>
      <c r="AA162" s="190">
        <v>0</v>
      </c>
      <c r="AB162" s="190">
        <v>0</v>
      </c>
      <c r="AC162" s="190">
        <v>0</v>
      </c>
      <c r="AD162" s="190">
        <v>0</v>
      </c>
      <c r="AE162" s="190">
        <v>0</v>
      </c>
      <c r="AF162" s="190">
        <v>0</v>
      </c>
      <c r="AG162" s="190">
        <v>0</v>
      </c>
      <c r="AH162" s="190">
        <v>0</v>
      </c>
      <c r="AI162" s="190">
        <v>0</v>
      </c>
      <c r="AJ162" s="190">
        <v>0</v>
      </c>
      <c r="AK162" s="190">
        <v>0</v>
      </c>
      <c r="AL162" s="190">
        <v>0</v>
      </c>
      <c r="AM162" s="190">
        <v>0</v>
      </c>
      <c r="AN162" s="190">
        <v>0</v>
      </c>
      <c r="AO162" s="190">
        <v>0</v>
      </c>
      <c r="AP162" s="190">
        <v>0</v>
      </c>
      <c r="AQ162" s="190">
        <v>0</v>
      </c>
      <c r="AR162" s="190">
        <v>0</v>
      </c>
      <c r="AS162" s="190">
        <v>0</v>
      </c>
      <c r="AT162" s="190">
        <v>0</v>
      </c>
      <c r="AU162" s="190">
        <v>0</v>
      </c>
      <c r="AV162" s="190">
        <v>0</v>
      </c>
      <c r="AW162" s="190">
        <v>0</v>
      </c>
      <c r="AX162" s="190">
        <v>0</v>
      </c>
      <c r="AY162" s="190">
        <v>0</v>
      </c>
      <c r="AZ162" s="190">
        <v>0</v>
      </c>
      <c r="BA162" s="190">
        <v>0</v>
      </c>
      <c r="BB162" s="153">
        <v>23884353</v>
      </c>
    </row>
    <row r="163" spans="1:54" s="147" customFormat="1" ht="21" thickBot="1">
      <c r="A163" s="141"/>
      <c r="B163" s="142"/>
      <c r="C163" s="143" t="s">
        <v>193</v>
      </c>
      <c r="D163" s="144"/>
      <c r="E163" s="146">
        <f>E160+E162</f>
        <v>5999609.9189500213</v>
      </c>
      <c r="F163" s="146">
        <f>F160+F162</f>
        <v>0.17865643184632063</v>
      </c>
      <c r="G163" s="146">
        <f t="shared" ref="G163:BB163" si="119">G160+G162</f>
        <v>5999609.7402935773</v>
      </c>
      <c r="H163" s="146">
        <f t="shared" si="119"/>
        <v>-451320.23691052152</v>
      </c>
      <c r="I163" s="146">
        <f t="shared" si="119"/>
        <v>-0.36839728732593358</v>
      </c>
      <c r="J163" s="146">
        <f t="shared" si="119"/>
        <v>-992413.65180349257</v>
      </c>
      <c r="K163" s="146">
        <f t="shared" si="119"/>
        <v>-986665.83477065689</v>
      </c>
      <c r="L163" s="146">
        <f t="shared" si="119"/>
        <v>1856178.7249083272</v>
      </c>
      <c r="M163" s="146">
        <f t="shared" si="119"/>
        <v>-731469.14937853406</v>
      </c>
      <c r="N163" s="146">
        <f t="shared" si="119"/>
        <v>-33222.171344867907</v>
      </c>
      <c r="O163" s="146">
        <f t="shared" si="119"/>
        <v>-1505165.198014823</v>
      </c>
      <c r="P163" s="146">
        <f t="shared" si="119"/>
        <v>-1033459.7187385111</v>
      </c>
      <c r="Q163" s="146">
        <f t="shared" si="119"/>
        <v>2221775.7136780196</v>
      </c>
      <c r="R163" s="146">
        <f t="shared" si="119"/>
        <v>1156104.617337645</v>
      </c>
      <c r="S163" s="146">
        <f t="shared" si="119"/>
        <v>-145968.66089535097</v>
      </c>
      <c r="T163" s="146">
        <f t="shared" si="119"/>
        <v>-1625277.6383666846</v>
      </c>
      <c r="U163" s="146">
        <f t="shared" si="119"/>
        <v>-742918.07214584714</v>
      </c>
      <c r="V163" s="146">
        <f t="shared" si="119"/>
        <v>-347188.75393865246</v>
      </c>
      <c r="W163" s="146">
        <f t="shared" si="119"/>
        <v>-656816.06665998371</v>
      </c>
      <c r="X163" s="146">
        <f t="shared" si="119"/>
        <v>-24762.851000000141</v>
      </c>
      <c r="Y163" s="146">
        <f t="shared" si="119"/>
        <v>366534.24939297326</v>
      </c>
      <c r="Z163" s="146">
        <f t="shared" si="119"/>
        <v>-174194.27925628782</v>
      </c>
      <c r="AA163" s="146">
        <f t="shared" si="119"/>
        <v>313.49115175427869</v>
      </c>
      <c r="AB163" s="146">
        <f t="shared" si="119"/>
        <v>483</v>
      </c>
      <c r="AC163" s="146">
        <f t="shared" si="119"/>
        <v>-0.49755364994052798</v>
      </c>
      <c r="AD163" s="146">
        <f t="shared" si="119"/>
        <v>-2791.5425000000105</v>
      </c>
      <c r="AE163" s="146">
        <f t="shared" si="119"/>
        <v>-1528.452500000014</v>
      </c>
      <c r="AF163" s="146">
        <f t="shared" si="119"/>
        <v>362.58749999999418</v>
      </c>
      <c r="AG163" s="146">
        <f t="shared" si="119"/>
        <v>183.34500000000116</v>
      </c>
      <c r="AH163" s="146">
        <f t="shared" si="119"/>
        <v>167.71349999999802</v>
      </c>
      <c r="AI163" s="146">
        <f t="shared" si="119"/>
        <v>-1237.1919999998063</v>
      </c>
      <c r="AJ163" s="146">
        <f t="shared" si="119"/>
        <v>-1156.2199999999721</v>
      </c>
      <c r="AK163" s="146">
        <f t="shared" si="119"/>
        <v>1367.3899999999994</v>
      </c>
      <c r="AL163" s="146">
        <f t="shared" si="119"/>
        <v>-981.52500000000146</v>
      </c>
      <c r="AM163" s="146">
        <f t="shared" si="119"/>
        <v>-6968218.5759999976</v>
      </c>
      <c r="AN163" s="146">
        <f t="shared" si="119"/>
        <v>-600.04999999998836</v>
      </c>
      <c r="AO163" s="146">
        <f t="shared" si="119"/>
        <v>-873.83999999999651</v>
      </c>
      <c r="AP163" s="146">
        <f t="shared" si="119"/>
        <v>-1091.3999999999942</v>
      </c>
      <c r="AQ163" s="146">
        <f t="shared" si="119"/>
        <v>-107.22875000000204</v>
      </c>
      <c r="AR163" s="146">
        <f t="shared" si="119"/>
        <v>1227.5712500000081</v>
      </c>
      <c r="AS163" s="146">
        <f t="shared" si="119"/>
        <v>-3327676.95</v>
      </c>
      <c r="AT163" s="146">
        <f t="shared" si="119"/>
        <v>-170478.7</v>
      </c>
      <c r="AU163" s="146">
        <f t="shared" si="119"/>
        <v>0</v>
      </c>
      <c r="AV163" s="146">
        <f t="shared" si="119"/>
        <v>0.25</v>
      </c>
      <c r="AW163" s="146">
        <f t="shared" si="119"/>
        <v>-417353.25</v>
      </c>
      <c r="AX163" s="146">
        <f t="shared" si="119"/>
        <v>1725.6374999999534</v>
      </c>
      <c r="AY163" s="146">
        <f t="shared" si="119"/>
        <v>-7074757.4749999996</v>
      </c>
      <c r="AZ163" s="146">
        <f t="shared" si="119"/>
        <v>13</v>
      </c>
      <c r="BA163" s="146">
        <f>BA160+BA162</f>
        <v>0</v>
      </c>
      <c r="BB163" s="145">
        <f t="shared" si="119"/>
        <v>27812868</v>
      </c>
    </row>
    <row r="164" spans="1:54" s="91" customFormat="1" ht="15.75">
      <c r="A164" s="34" t="s">
        <v>20</v>
      </c>
      <c r="B164" s="89"/>
      <c r="C164" s="35"/>
      <c r="D164" s="90"/>
      <c r="E164" s="36">
        <f>SUBTOTAL(9,E165:E178)</f>
        <v>3124</v>
      </c>
      <c r="F164" s="36">
        <f>SUBTOTAL(9,F165:F178)</f>
        <v>41</v>
      </c>
      <c r="G164" s="129">
        <f t="shared" ref="G164:AX164" si="120">SUBTOTAL(9,G165:G178)</f>
        <v>3083</v>
      </c>
      <c r="H164" s="36">
        <f t="shared" si="120"/>
        <v>46</v>
      </c>
      <c r="I164" s="36">
        <f t="shared" si="120"/>
        <v>192</v>
      </c>
      <c r="J164" s="36">
        <f t="shared" si="120"/>
        <v>121.5</v>
      </c>
      <c r="K164" s="36">
        <f t="shared" si="120"/>
        <v>94.5</v>
      </c>
      <c r="L164" s="36">
        <f t="shared" si="120"/>
        <v>76.5</v>
      </c>
      <c r="M164" s="36">
        <f t="shared" si="120"/>
        <v>79.5</v>
      </c>
      <c r="N164" s="36">
        <f t="shared" si="120"/>
        <v>68</v>
      </c>
      <c r="O164" s="36">
        <f t="shared" si="120"/>
        <v>193.5</v>
      </c>
      <c r="P164" s="36">
        <f t="shared" si="120"/>
        <v>242</v>
      </c>
      <c r="Q164" s="36">
        <f t="shared" si="120"/>
        <v>199</v>
      </c>
      <c r="R164" s="36">
        <f t="shared" si="120"/>
        <v>122.5</v>
      </c>
      <c r="S164" s="36">
        <f t="shared" si="120"/>
        <v>59.5</v>
      </c>
      <c r="T164" s="36">
        <f t="shared" si="120"/>
        <v>160.5</v>
      </c>
      <c r="U164" s="36">
        <f t="shared" si="120"/>
        <v>218.5</v>
      </c>
      <c r="V164" s="36">
        <f t="shared" si="120"/>
        <v>194</v>
      </c>
      <c r="W164" s="36">
        <f t="shared" si="120"/>
        <v>116.5</v>
      </c>
      <c r="X164" s="36">
        <f t="shared" si="120"/>
        <v>29.5</v>
      </c>
      <c r="Y164" s="36">
        <f t="shared" si="120"/>
        <v>35</v>
      </c>
      <c r="Z164" s="36">
        <f t="shared" si="120"/>
        <v>52.5</v>
      </c>
      <c r="AA164" s="36">
        <f t="shared" si="120"/>
        <v>16</v>
      </c>
      <c r="AB164" s="36">
        <f t="shared" si="120"/>
        <v>95</v>
      </c>
      <c r="AC164" s="36">
        <f t="shared" si="120"/>
        <v>0</v>
      </c>
      <c r="AD164" s="36">
        <f t="shared" si="120"/>
        <v>4</v>
      </c>
      <c r="AE164" s="36">
        <f t="shared" si="120"/>
        <v>5</v>
      </c>
      <c r="AF164" s="36">
        <f t="shared" si="120"/>
        <v>2.5</v>
      </c>
      <c r="AG164" s="36">
        <f t="shared" si="120"/>
        <v>1</v>
      </c>
      <c r="AH164" s="36">
        <f t="shared" si="120"/>
        <v>1.5</v>
      </c>
      <c r="AI164" s="36">
        <f t="shared" si="120"/>
        <v>138</v>
      </c>
      <c r="AJ164" s="36">
        <f t="shared" si="120"/>
        <v>21.5</v>
      </c>
      <c r="AK164" s="36">
        <f t="shared" si="120"/>
        <v>4</v>
      </c>
      <c r="AL164" s="36">
        <f t="shared" si="120"/>
        <v>0</v>
      </c>
      <c r="AM164" s="36">
        <f t="shared" si="120"/>
        <v>0</v>
      </c>
      <c r="AN164" s="36">
        <f t="shared" si="120"/>
        <v>11</v>
      </c>
      <c r="AO164" s="36">
        <f t="shared" si="120"/>
        <v>5</v>
      </c>
      <c r="AP164" s="36">
        <f t="shared" si="120"/>
        <v>4</v>
      </c>
      <c r="AQ164" s="36">
        <f t="shared" si="120"/>
        <v>0</v>
      </c>
      <c r="AR164" s="36">
        <f t="shared" si="120"/>
        <v>5</v>
      </c>
      <c r="AS164" s="36">
        <f t="shared" si="120"/>
        <v>3</v>
      </c>
      <c r="AT164" s="36">
        <f t="shared" si="120"/>
        <v>8</v>
      </c>
      <c r="AU164" s="36">
        <f t="shared" si="120"/>
        <v>40</v>
      </c>
      <c r="AV164" s="36">
        <f t="shared" si="120"/>
        <v>180</v>
      </c>
      <c r="AW164" s="36">
        <f t="shared" si="120"/>
        <v>103.5</v>
      </c>
      <c r="AX164" s="36">
        <f t="shared" si="120"/>
        <v>0</v>
      </c>
      <c r="AY164" s="36">
        <f>SUBTOTAL(9,AY165:AY178)</f>
        <v>131</v>
      </c>
      <c r="AZ164" s="36">
        <f>SUBTOTAL(9,AZ165:AZ178)</f>
        <v>3</v>
      </c>
      <c r="BA164" s="36">
        <f>SUBTOTAL(9,BA165:BA178)</f>
        <v>0</v>
      </c>
      <c r="BB164" s="36">
        <f>SUBTOTAL(9,BB165:BB178)</f>
        <v>0</v>
      </c>
    </row>
    <row r="165" spans="1:54" s="91" customFormat="1" ht="15.75">
      <c r="A165" s="27" t="s">
        <v>141</v>
      </c>
      <c r="B165" s="92"/>
      <c r="C165" s="28"/>
      <c r="D165" s="93"/>
      <c r="E165" s="29">
        <f>SUBTOTAL(9,E166:E169)</f>
        <v>1676</v>
      </c>
      <c r="F165" s="29">
        <f>SUBTOTAL(9,F166:F169)</f>
        <v>39</v>
      </c>
      <c r="G165" s="130">
        <f t="shared" ref="G165:AX165" si="121">SUBTOTAL(9,G166:G169)</f>
        <v>1637</v>
      </c>
      <c r="H165" s="29">
        <f t="shared" si="121"/>
        <v>29</v>
      </c>
      <c r="I165" s="29">
        <f t="shared" si="121"/>
        <v>124.5</v>
      </c>
      <c r="J165" s="29">
        <f t="shared" si="121"/>
        <v>87.5</v>
      </c>
      <c r="K165" s="29">
        <f t="shared" si="121"/>
        <v>77</v>
      </c>
      <c r="L165" s="29">
        <f t="shared" si="121"/>
        <v>59.5</v>
      </c>
      <c r="M165" s="29">
        <f t="shared" si="121"/>
        <v>56</v>
      </c>
      <c r="N165" s="29">
        <f t="shared" si="121"/>
        <v>43.5</v>
      </c>
      <c r="O165" s="29">
        <f t="shared" si="121"/>
        <v>110.5</v>
      </c>
      <c r="P165" s="29">
        <f t="shared" si="121"/>
        <v>187</v>
      </c>
      <c r="Q165" s="29">
        <f t="shared" si="121"/>
        <v>138</v>
      </c>
      <c r="R165" s="29">
        <f t="shared" si="121"/>
        <v>86</v>
      </c>
      <c r="S165" s="29">
        <f t="shared" si="121"/>
        <v>43</v>
      </c>
      <c r="T165" s="29">
        <f t="shared" si="121"/>
        <v>131</v>
      </c>
      <c r="U165" s="29">
        <f t="shared" si="121"/>
        <v>175</v>
      </c>
      <c r="V165" s="29">
        <f t="shared" si="121"/>
        <v>120.5</v>
      </c>
      <c r="W165" s="29">
        <f t="shared" si="121"/>
        <v>99</v>
      </c>
      <c r="X165" s="29">
        <f t="shared" si="121"/>
        <v>23</v>
      </c>
      <c r="Y165" s="29">
        <f t="shared" si="121"/>
        <v>14</v>
      </c>
      <c r="Z165" s="29">
        <f t="shared" si="121"/>
        <v>18</v>
      </c>
      <c r="AA165" s="29">
        <f t="shared" si="121"/>
        <v>8</v>
      </c>
      <c r="AB165" s="29">
        <f t="shared" si="121"/>
        <v>0</v>
      </c>
      <c r="AC165" s="29">
        <f t="shared" si="121"/>
        <v>0</v>
      </c>
      <c r="AD165" s="29">
        <f t="shared" si="121"/>
        <v>0</v>
      </c>
      <c r="AE165" s="29">
        <f t="shared" si="121"/>
        <v>0</v>
      </c>
      <c r="AF165" s="29">
        <f t="shared" si="121"/>
        <v>0</v>
      </c>
      <c r="AG165" s="29">
        <f t="shared" si="121"/>
        <v>0</v>
      </c>
      <c r="AH165" s="29">
        <f t="shared" si="121"/>
        <v>0</v>
      </c>
      <c r="AI165" s="29">
        <f t="shared" si="121"/>
        <v>7</v>
      </c>
      <c r="AJ165" s="29">
        <f t="shared" si="121"/>
        <v>0</v>
      </c>
      <c r="AK165" s="29">
        <f t="shared" si="121"/>
        <v>0</v>
      </c>
      <c r="AL165" s="29">
        <f t="shared" si="121"/>
        <v>0</v>
      </c>
      <c r="AM165" s="29">
        <f t="shared" si="121"/>
        <v>0</v>
      </c>
      <c r="AN165" s="29">
        <f t="shared" si="121"/>
        <v>0</v>
      </c>
      <c r="AO165" s="29">
        <f t="shared" si="121"/>
        <v>0</v>
      </c>
      <c r="AP165" s="29">
        <f t="shared" si="121"/>
        <v>0</v>
      </c>
      <c r="AQ165" s="29">
        <f t="shared" si="121"/>
        <v>0</v>
      </c>
      <c r="AR165" s="29">
        <f t="shared" si="121"/>
        <v>0</v>
      </c>
      <c r="AS165" s="29">
        <f t="shared" si="121"/>
        <v>0</v>
      </c>
      <c r="AT165" s="29">
        <f t="shared" si="121"/>
        <v>0</v>
      </c>
      <c r="AU165" s="29">
        <f t="shared" si="121"/>
        <v>0</v>
      </c>
      <c r="AV165" s="29">
        <f t="shared" si="121"/>
        <v>0</v>
      </c>
      <c r="AW165" s="29">
        <f t="shared" si="121"/>
        <v>0</v>
      </c>
      <c r="AX165" s="29">
        <f t="shared" si="121"/>
        <v>0</v>
      </c>
      <c r="AY165" s="29">
        <f>SUBTOTAL(9,AY166:AY169)</f>
        <v>0</v>
      </c>
      <c r="AZ165" s="29">
        <f>SUBTOTAL(9,AZ166:AZ169)</f>
        <v>0</v>
      </c>
      <c r="BA165" s="29">
        <f>SUBTOTAL(9,BA166:BA169)</f>
        <v>0</v>
      </c>
      <c r="BB165" s="29">
        <f>SUBTOTAL(9,BB166:BB169)</f>
        <v>0</v>
      </c>
    </row>
    <row r="166" spans="1:54" s="91" customFormat="1" ht="15.75">
      <c r="A166" s="23" t="s">
        <v>142</v>
      </c>
      <c r="B166" s="92"/>
      <c r="C166" s="28"/>
      <c r="D166" s="93"/>
      <c r="E166" s="158">
        <v>308</v>
      </c>
      <c r="F166" s="155">
        <f>E166-G166</f>
        <v>5</v>
      </c>
      <c r="G166" s="125">
        <f>SUM(H166:BB166)</f>
        <v>303</v>
      </c>
      <c r="H166" s="30">
        <v>5</v>
      </c>
      <c r="I166" s="30">
        <v>13</v>
      </c>
      <c r="J166" s="30">
        <v>15</v>
      </c>
      <c r="K166" s="30">
        <v>17</v>
      </c>
      <c r="L166" s="30">
        <v>8.5</v>
      </c>
      <c r="M166" s="30">
        <v>9</v>
      </c>
      <c r="N166" s="30">
        <v>9</v>
      </c>
      <c r="O166" s="30">
        <v>12</v>
      </c>
      <c r="P166" s="30">
        <v>24</v>
      </c>
      <c r="Q166" s="30">
        <v>23</v>
      </c>
      <c r="R166" s="30">
        <v>24</v>
      </c>
      <c r="S166" s="30">
        <v>12</v>
      </c>
      <c r="T166" s="30">
        <v>29</v>
      </c>
      <c r="U166" s="30">
        <v>47.5</v>
      </c>
      <c r="V166" s="30">
        <v>23</v>
      </c>
      <c r="W166" s="30">
        <v>20</v>
      </c>
      <c r="X166" s="30">
        <v>3</v>
      </c>
      <c r="Y166" s="30">
        <v>1</v>
      </c>
      <c r="Z166" s="30">
        <v>2</v>
      </c>
      <c r="AA166" s="30">
        <v>2</v>
      </c>
      <c r="AB166" s="30"/>
      <c r="AC166" s="30"/>
      <c r="AD166" s="30"/>
      <c r="AE166" s="30"/>
      <c r="AF166" s="30"/>
      <c r="AG166" s="30"/>
      <c r="AH166" s="30"/>
      <c r="AI166" s="30">
        <v>4</v>
      </c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</row>
    <row r="167" spans="1:54" s="91" customFormat="1" ht="15.75">
      <c r="A167" s="23" t="s">
        <v>143</v>
      </c>
      <c r="B167" s="92"/>
      <c r="C167" s="28"/>
      <c r="D167" s="93"/>
      <c r="E167" s="158">
        <v>570</v>
      </c>
      <c r="F167" s="155">
        <f>E167-G167</f>
        <v>14.25</v>
      </c>
      <c r="G167" s="125">
        <f>SUM(H167:BB167)</f>
        <v>555.75</v>
      </c>
      <c r="H167" s="30">
        <v>11</v>
      </c>
      <c r="I167" s="30">
        <v>45.5</v>
      </c>
      <c r="J167" s="30">
        <v>32</v>
      </c>
      <c r="K167" s="30">
        <v>22</v>
      </c>
      <c r="L167" s="30">
        <v>17.25</v>
      </c>
      <c r="M167" s="30">
        <v>26.5</v>
      </c>
      <c r="N167" s="30">
        <v>17</v>
      </c>
      <c r="O167" s="30">
        <v>54.5</v>
      </c>
      <c r="P167" s="30">
        <v>49</v>
      </c>
      <c r="Q167" s="30">
        <v>50</v>
      </c>
      <c r="R167" s="30">
        <v>25</v>
      </c>
      <c r="S167" s="30">
        <v>15</v>
      </c>
      <c r="T167" s="30">
        <v>51</v>
      </c>
      <c r="U167" s="30">
        <v>56</v>
      </c>
      <c r="V167" s="30">
        <v>39</v>
      </c>
      <c r="W167" s="30">
        <v>25</v>
      </c>
      <c r="X167" s="30">
        <v>3</v>
      </c>
      <c r="Y167" s="30">
        <v>8</v>
      </c>
      <c r="Z167" s="30">
        <v>5</v>
      </c>
      <c r="AA167" s="30">
        <v>1</v>
      </c>
      <c r="AB167" s="30"/>
      <c r="AC167" s="30"/>
      <c r="AD167" s="30"/>
      <c r="AE167" s="30"/>
      <c r="AF167" s="30"/>
      <c r="AG167" s="30"/>
      <c r="AH167" s="30"/>
      <c r="AI167" s="30">
        <v>3</v>
      </c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</row>
    <row r="168" spans="1:54" s="91" customFormat="1" ht="15.75">
      <c r="A168" s="23" t="s">
        <v>144</v>
      </c>
      <c r="B168" s="92"/>
      <c r="C168" s="28"/>
      <c r="D168" s="93"/>
      <c r="E168" s="158">
        <v>596</v>
      </c>
      <c r="F168" s="155">
        <f>E168-G168</f>
        <v>4.75</v>
      </c>
      <c r="G168" s="125">
        <f>SUM(H168:BB168)</f>
        <v>591.25</v>
      </c>
      <c r="H168" s="30">
        <v>10</v>
      </c>
      <c r="I168" s="30">
        <v>51</v>
      </c>
      <c r="J168" s="30">
        <v>30</v>
      </c>
      <c r="K168" s="30">
        <v>36</v>
      </c>
      <c r="L168" s="30">
        <v>13.75</v>
      </c>
      <c r="M168" s="30">
        <v>11.5</v>
      </c>
      <c r="N168" s="30">
        <v>16.5</v>
      </c>
      <c r="O168" s="30">
        <v>38</v>
      </c>
      <c r="P168" s="30">
        <v>76</v>
      </c>
      <c r="Q168" s="30">
        <v>49.5</v>
      </c>
      <c r="R168" s="30">
        <v>24</v>
      </c>
      <c r="S168" s="30">
        <v>12</v>
      </c>
      <c r="T168" s="30">
        <v>44</v>
      </c>
      <c r="U168" s="30">
        <v>65.5</v>
      </c>
      <c r="V168" s="30">
        <v>43.5</v>
      </c>
      <c r="W168" s="30">
        <v>37</v>
      </c>
      <c r="X168" s="30">
        <v>14</v>
      </c>
      <c r="Y168" s="30">
        <v>3</v>
      </c>
      <c r="Z168" s="30">
        <v>11</v>
      </c>
      <c r="AA168" s="30">
        <v>5</v>
      </c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</row>
    <row r="169" spans="1:54" s="91" customFormat="1" ht="15.75">
      <c r="A169" s="23" t="s">
        <v>145</v>
      </c>
      <c r="B169" s="92"/>
      <c r="C169" s="28"/>
      <c r="D169" s="93"/>
      <c r="E169" s="158">
        <v>202</v>
      </c>
      <c r="F169" s="155">
        <f>E169-G169</f>
        <v>15</v>
      </c>
      <c r="G169" s="125">
        <f>SUM(H169:BB169)</f>
        <v>187</v>
      </c>
      <c r="H169" s="30">
        <v>3</v>
      </c>
      <c r="I169" s="30">
        <v>15</v>
      </c>
      <c r="J169" s="30">
        <v>10.5</v>
      </c>
      <c r="K169" s="30">
        <v>2</v>
      </c>
      <c r="L169" s="30">
        <v>20</v>
      </c>
      <c r="M169" s="30">
        <v>9</v>
      </c>
      <c r="N169" s="30">
        <v>1</v>
      </c>
      <c r="O169" s="30">
        <v>6</v>
      </c>
      <c r="P169" s="30">
        <v>38</v>
      </c>
      <c r="Q169" s="30">
        <v>15.5</v>
      </c>
      <c r="R169" s="30">
        <v>13</v>
      </c>
      <c r="S169" s="30">
        <v>4</v>
      </c>
      <c r="T169" s="30">
        <v>7</v>
      </c>
      <c r="U169" s="30">
        <v>6</v>
      </c>
      <c r="V169" s="30">
        <v>15</v>
      </c>
      <c r="W169" s="30">
        <v>17</v>
      </c>
      <c r="X169" s="30">
        <v>3</v>
      </c>
      <c r="Y169" s="30">
        <v>2</v>
      </c>
      <c r="Z169" s="30">
        <v>0</v>
      </c>
      <c r="AA169" s="30">
        <v>0</v>
      </c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</row>
    <row r="170" spans="1:54" s="91" customFormat="1" ht="15.75">
      <c r="A170" s="27" t="s">
        <v>146</v>
      </c>
      <c r="B170" s="92"/>
      <c r="C170" s="28"/>
      <c r="D170" s="93"/>
      <c r="E170" s="29">
        <f>SUBTOTAL(9,E171:E174)</f>
        <v>70</v>
      </c>
      <c r="F170" s="29">
        <f>SUBTOTAL(9,F171:F174)</f>
        <v>1</v>
      </c>
      <c r="G170" s="130">
        <f t="shared" ref="G170:AX170" si="122">SUBTOTAL(9,G171:G174)</f>
        <v>69</v>
      </c>
      <c r="H170" s="29">
        <f t="shared" si="122"/>
        <v>0</v>
      </c>
      <c r="I170" s="29">
        <f t="shared" si="122"/>
        <v>0</v>
      </c>
      <c r="J170" s="29">
        <f t="shared" si="122"/>
        <v>0</v>
      </c>
      <c r="K170" s="29">
        <f t="shared" si="122"/>
        <v>5</v>
      </c>
      <c r="L170" s="29">
        <f t="shared" si="122"/>
        <v>1</v>
      </c>
      <c r="M170" s="29">
        <f t="shared" si="122"/>
        <v>1</v>
      </c>
      <c r="N170" s="29">
        <f t="shared" si="122"/>
        <v>0</v>
      </c>
      <c r="O170" s="29">
        <f t="shared" si="122"/>
        <v>0</v>
      </c>
      <c r="P170" s="29">
        <f t="shared" si="122"/>
        <v>19.5</v>
      </c>
      <c r="Q170" s="29">
        <f t="shared" si="122"/>
        <v>6</v>
      </c>
      <c r="R170" s="29">
        <f t="shared" si="122"/>
        <v>0</v>
      </c>
      <c r="S170" s="29">
        <f t="shared" si="122"/>
        <v>0</v>
      </c>
      <c r="T170" s="29">
        <f t="shared" si="122"/>
        <v>8</v>
      </c>
      <c r="U170" s="29">
        <f t="shared" si="122"/>
        <v>1.5</v>
      </c>
      <c r="V170" s="29">
        <f t="shared" si="122"/>
        <v>0</v>
      </c>
      <c r="W170" s="29">
        <f t="shared" si="122"/>
        <v>0</v>
      </c>
      <c r="X170" s="29">
        <f t="shared" si="122"/>
        <v>0</v>
      </c>
      <c r="Y170" s="29">
        <f t="shared" si="122"/>
        <v>1</v>
      </c>
      <c r="Z170" s="29">
        <f t="shared" si="122"/>
        <v>0</v>
      </c>
      <c r="AA170" s="29">
        <f t="shared" si="122"/>
        <v>0</v>
      </c>
      <c r="AB170" s="29">
        <f t="shared" si="122"/>
        <v>0</v>
      </c>
      <c r="AC170" s="29">
        <f t="shared" si="122"/>
        <v>0</v>
      </c>
      <c r="AD170" s="29">
        <f t="shared" si="122"/>
        <v>0</v>
      </c>
      <c r="AE170" s="29">
        <f t="shared" si="122"/>
        <v>0</v>
      </c>
      <c r="AF170" s="29">
        <f t="shared" si="122"/>
        <v>0</v>
      </c>
      <c r="AG170" s="29">
        <f t="shared" si="122"/>
        <v>0</v>
      </c>
      <c r="AH170" s="29">
        <f t="shared" si="122"/>
        <v>0</v>
      </c>
      <c r="AI170" s="29">
        <f t="shared" si="122"/>
        <v>1</v>
      </c>
      <c r="AJ170" s="29">
        <f t="shared" si="122"/>
        <v>0</v>
      </c>
      <c r="AK170" s="29">
        <f t="shared" si="122"/>
        <v>0</v>
      </c>
      <c r="AL170" s="29">
        <f t="shared" si="122"/>
        <v>0</v>
      </c>
      <c r="AM170" s="29">
        <f t="shared" si="122"/>
        <v>0</v>
      </c>
      <c r="AN170" s="29">
        <f t="shared" si="122"/>
        <v>0</v>
      </c>
      <c r="AO170" s="29">
        <f t="shared" si="122"/>
        <v>0</v>
      </c>
      <c r="AP170" s="29">
        <f t="shared" si="122"/>
        <v>0</v>
      </c>
      <c r="AQ170" s="29">
        <f t="shared" si="122"/>
        <v>0</v>
      </c>
      <c r="AR170" s="29">
        <f t="shared" si="122"/>
        <v>0</v>
      </c>
      <c r="AS170" s="29">
        <f t="shared" si="122"/>
        <v>0</v>
      </c>
      <c r="AT170" s="29">
        <f t="shared" si="122"/>
        <v>0</v>
      </c>
      <c r="AU170" s="29">
        <f t="shared" si="122"/>
        <v>0</v>
      </c>
      <c r="AV170" s="29">
        <f t="shared" si="122"/>
        <v>0</v>
      </c>
      <c r="AW170" s="29">
        <f t="shared" si="122"/>
        <v>0</v>
      </c>
      <c r="AX170" s="29">
        <f t="shared" si="122"/>
        <v>0</v>
      </c>
      <c r="AY170" s="29">
        <f>SUBTOTAL(9,AY171:AY174)</f>
        <v>25</v>
      </c>
      <c r="AZ170" s="29">
        <f>SUBTOTAL(9,AZ171:AZ174)</f>
        <v>0</v>
      </c>
      <c r="BA170" s="29">
        <f>SUBTOTAL(9,BA171:BA174)</f>
        <v>0</v>
      </c>
      <c r="BB170" s="29">
        <f>SUBTOTAL(9,BB171:BB174)</f>
        <v>0</v>
      </c>
    </row>
    <row r="171" spans="1:54" s="91" customFormat="1" ht="15.75">
      <c r="A171" s="23" t="s">
        <v>147</v>
      </c>
      <c r="B171" s="92"/>
      <c r="C171" s="28"/>
      <c r="D171" s="93"/>
      <c r="E171" s="158">
        <v>6</v>
      </c>
      <c r="F171" s="155">
        <f>E171-G171</f>
        <v>0.5</v>
      </c>
      <c r="G171" s="122">
        <f>SUM(H171:BB171)</f>
        <v>5.5</v>
      </c>
      <c r="H171" s="30"/>
      <c r="I171" s="30"/>
      <c r="J171" s="30"/>
      <c r="K171" s="30"/>
      <c r="L171" s="30"/>
      <c r="M171" s="30">
        <v>1</v>
      </c>
      <c r="N171" s="30"/>
      <c r="O171" s="30"/>
      <c r="P171" s="30">
        <v>1</v>
      </c>
      <c r="Q171" s="30">
        <v>1</v>
      </c>
      <c r="R171" s="30"/>
      <c r="S171" s="30"/>
      <c r="T171" s="30">
        <v>1</v>
      </c>
      <c r="U171" s="30">
        <v>0.5</v>
      </c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>
        <v>1</v>
      </c>
      <c r="AZ171" s="30"/>
      <c r="BA171" s="30"/>
      <c r="BB171" s="30"/>
    </row>
    <row r="172" spans="1:54" s="91" customFormat="1" ht="15.75">
      <c r="A172" s="23" t="s">
        <v>148</v>
      </c>
      <c r="B172" s="92"/>
      <c r="C172" s="28"/>
      <c r="D172" s="93"/>
      <c r="E172" s="158">
        <v>7</v>
      </c>
      <c r="F172" s="155">
        <f>E172-G172</f>
        <v>0</v>
      </c>
      <c r="G172" s="122">
        <f>SUM(H172:BB172)</f>
        <v>7</v>
      </c>
      <c r="H172" s="30"/>
      <c r="I172" s="30"/>
      <c r="J172" s="30"/>
      <c r="K172" s="30"/>
      <c r="L172" s="30">
        <v>1</v>
      </c>
      <c r="M172" s="30"/>
      <c r="N172" s="30"/>
      <c r="O172" s="30"/>
      <c r="P172" s="30"/>
      <c r="Q172" s="30">
        <v>2</v>
      </c>
      <c r="R172" s="30"/>
      <c r="S172" s="30"/>
      <c r="T172" s="30"/>
      <c r="U172" s="30"/>
      <c r="V172" s="30"/>
      <c r="W172" s="30"/>
      <c r="X172" s="30"/>
      <c r="Y172" s="30">
        <v>1</v>
      </c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>
        <v>3</v>
      </c>
      <c r="AZ172" s="30"/>
      <c r="BA172" s="30"/>
      <c r="BB172" s="30"/>
    </row>
    <row r="173" spans="1:54" s="91" customFormat="1" ht="15.75">
      <c r="A173" s="23" t="s">
        <v>149</v>
      </c>
      <c r="B173" s="92"/>
      <c r="C173" s="28"/>
      <c r="D173" s="93"/>
      <c r="E173" s="158">
        <v>32</v>
      </c>
      <c r="F173" s="155">
        <f>E173-G173</f>
        <v>0.5</v>
      </c>
      <c r="G173" s="122">
        <f>SUM(H173:BB173)</f>
        <v>31.5</v>
      </c>
      <c r="H173" s="30"/>
      <c r="I173" s="30"/>
      <c r="J173" s="30"/>
      <c r="K173" s="30">
        <v>2</v>
      </c>
      <c r="L173" s="30"/>
      <c r="M173" s="30"/>
      <c r="N173" s="30"/>
      <c r="O173" s="30"/>
      <c r="P173" s="30">
        <v>12.5</v>
      </c>
      <c r="Q173" s="30"/>
      <c r="R173" s="30"/>
      <c r="S173" s="30"/>
      <c r="T173" s="30">
        <v>6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>
        <v>1</v>
      </c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>
        <v>10</v>
      </c>
      <c r="AZ173" s="30"/>
      <c r="BA173" s="30"/>
      <c r="BB173" s="30"/>
    </row>
    <row r="174" spans="1:54" s="91" customFormat="1" ht="15.75">
      <c r="A174" s="23" t="s">
        <v>150</v>
      </c>
      <c r="B174" s="92"/>
      <c r="C174" s="28"/>
      <c r="D174" s="93"/>
      <c r="E174" s="158">
        <v>25</v>
      </c>
      <c r="F174" s="155">
        <f>E174-G174</f>
        <v>0</v>
      </c>
      <c r="G174" s="122">
        <f>SUM(H174:BB174)</f>
        <v>25</v>
      </c>
      <c r="H174" s="30"/>
      <c r="I174" s="30"/>
      <c r="J174" s="30"/>
      <c r="K174" s="30">
        <v>3</v>
      </c>
      <c r="L174" s="30"/>
      <c r="M174" s="30"/>
      <c r="N174" s="30"/>
      <c r="O174" s="30"/>
      <c r="P174" s="30">
        <v>6</v>
      </c>
      <c r="Q174" s="30">
        <v>3</v>
      </c>
      <c r="R174" s="30"/>
      <c r="S174" s="30"/>
      <c r="T174" s="30">
        <v>1</v>
      </c>
      <c r="U174" s="30">
        <v>1</v>
      </c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>
        <v>11</v>
      </c>
      <c r="AZ174" s="30"/>
      <c r="BA174" s="30"/>
      <c r="BB174" s="30"/>
    </row>
    <row r="175" spans="1:54" s="91" customFormat="1" ht="15.75">
      <c r="A175" s="27" t="s">
        <v>151</v>
      </c>
      <c r="B175" s="92"/>
      <c r="C175" s="28"/>
      <c r="D175" s="93"/>
      <c r="E175" s="29">
        <f>SUBTOTAL(9,E176:E178)</f>
        <v>1378</v>
      </c>
      <c r="F175" s="29">
        <f>SUBTOTAL(9,F176:F178)</f>
        <v>1</v>
      </c>
      <c r="G175" s="130">
        <f t="shared" ref="G175:AX175" si="123">SUBTOTAL(9,G176:G178)</f>
        <v>1377</v>
      </c>
      <c r="H175" s="29">
        <f t="shared" si="123"/>
        <v>17</v>
      </c>
      <c r="I175" s="29">
        <f t="shared" si="123"/>
        <v>67.5</v>
      </c>
      <c r="J175" s="29">
        <f t="shared" si="123"/>
        <v>34</v>
      </c>
      <c r="K175" s="29">
        <f t="shared" si="123"/>
        <v>12.5</v>
      </c>
      <c r="L175" s="29">
        <f t="shared" si="123"/>
        <v>16</v>
      </c>
      <c r="M175" s="29">
        <f t="shared" si="123"/>
        <v>22.5</v>
      </c>
      <c r="N175" s="29">
        <f t="shared" si="123"/>
        <v>24.5</v>
      </c>
      <c r="O175" s="29">
        <f t="shared" si="123"/>
        <v>83</v>
      </c>
      <c r="P175" s="29">
        <f t="shared" si="123"/>
        <v>35.5</v>
      </c>
      <c r="Q175" s="29">
        <f t="shared" si="123"/>
        <v>55</v>
      </c>
      <c r="R175" s="29">
        <f t="shared" si="123"/>
        <v>36.5</v>
      </c>
      <c r="S175" s="29">
        <f t="shared" si="123"/>
        <v>16.5</v>
      </c>
      <c r="T175" s="29">
        <f t="shared" si="123"/>
        <v>21.5</v>
      </c>
      <c r="U175" s="29">
        <f t="shared" si="123"/>
        <v>42</v>
      </c>
      <c r="V175" s="29">
        <f t="shared" si="123"/>
        <v>73.5</v>
      </c>
      <c r="W175" s="29">
        <f t="shared" si="123"/>
        <v>17.5</v>
      </c>
      <c r="X175" s="29">
        <f t="shared" si="123"/>
        <v>6.5</v>
      </c>
      <c r="Y175" s="29">
        <f t="shared" si="123"/>
        <v>20</v>
      </c>
      <c r="Z175" s="29">
        <f t="shared" si="123"/>
        <v>34.5</v>
      </c>
      <c r="AA175" s="29">
        <f t="shared" si="123"/>
        <v>8</v>
      </c>
      <c r="AB175" s="29">
        <f t="shared" si="123"/>
        <v>95</v>
      </c>
      <c r="AC175" s="29">
        <f t="shared" si="123"/>
        <v>0</v>
      </c>
      <c r="AD175" s="29">
        <f t="shared" si="123"/>
        <v>4</v>
      </c>
      <c r="AE175" s="29">
        <f t="shared" si="123"/>
        <v>5</v>
      </c>
      <c r="AF175" s="29">
        <f t="shared" si="123"/>
        <v>2.5</v>
      </c>
      <c r="AG175" s="29">
        <f t="shared" si="123"/>
        <v>1</v>
      </c>
      <c r="AH175" s="29">
        <f t="shared" si="123"/>
        <v>1.5</v>
      </c>
      <c r="AI175" s="29">
        <f t="shared" si="123"/>
        <v>130</v>
      </c>
      <c r="AJ175" s="29">
        <f t="shared" si="123"/>
        <v>21.5</v>
      </c>
      <c r="AK175" s="29">
        <f t="shared" si="123"/>
        <v>4</v>
      </c>
      <c r="AL175" s="29">
        <f t="shared" si="123"/>
        <v>0</v>
      </c>
      <c r="AM175" s="29">
        <f t="shared" si="123"/>
        <v>0</v>
      </c>
      <c r="AN175" s="29">
        <f t="shared" si="123"/>
        <v>11</v>
      </c>
      <c r="AO175" s="29">
        <f t="shared" si="123"/>
        <v>5</v>
      </c>
      <c r="AP175" s="29">
        <f t="shared" si="123"/>
        <v>4</v>
      </c>
      <c r="AQ175" s="29">
        <f t="shared" si="123"/>
        <v>0</v>
      </c>
      <c r="AR175" s="29">
        <f t="shared" si="123"/>
        <v>5</v>
      </c>
      <c r="AS175" s="29">
        <f t="shared" si="123"/>
        <v>3</v>
      </c>
      <c r="AT175" s="29">
        <f t="shared" si="123"/>
        <v>8</v>
      </c>
      <c r="AU175" s="29">
        <f t="shared" si="123"/>
        <v>40</v>
      </c>
      <c r="AV175" s="29">
        <f t="shared" si="123"/>
        <v>180</v>
      </c>
      <c r="AW175" s="29">
        <f t="shared" si="123"/>
        <v>103.5</v>
      </c>
      <c r="AX175" s="29">
        <f t="shared" si="123"/>
        <v>0</v>
      </c>
      <c r="AY175" s="29">
        <f>SUBTOTAL(9,AY176:AY178)</f>
        <v>106</v>
      </c>
      <c r="AZ175" s="29">
        <f>SUBTOTAL(9,AZ176:AZ178)</f>
        <v>3</v>
      </c>
      <c r="BA175" s="29">
        <f>SUBTOTAL(9,BA176:BA178)</f>
        <v>0</v>
      </c>
      <c r="BB175" s="29">
        <f>SUBTOTAL(9,BB176:BB178)</f>
        <v>0</v>
      </c>
    </row>
    <row r="176" spans="1:54" s="91" customFormat="1" ht="15.75">
      <c r="A176" s="23" t="s">
        <v>22</v>
      </c>
      <c r="B176" s="92"/>
      <c r="C176" s="24"/>
      <c r="D176" s="93"/>
      <c r="E176" s="158">
        <v>402</v>
      </c>
      <c r="F176" s="155">
        <f>E176-G176</f>
        <v>0.5</v>
      </c>
      <c r="G176" s="122">
        <f>SUM(H176:BB176)</f>
        <v>401.5</v>
      </c>
      <c r="H176" s="30">
        <v>4</v>
      </c>
      <c r="I176" s="30">
        <v>12</v>
      </c>
      <c r="J176" s="30">
        <v>6.5</v>
      </c>
      <c r="K176" s="30">
        <v>8</v>
      </c>
      <c r="L176" s="30">
        <v>7</v>
      </c>
      <c r="M176" s="30">
        <v>12</v>
      </c>
      <c r="N176" s="30">
        <v>11</v>
      </c>
      <c r="O176" s="30">
        <v>10.5</v>
      </c>
      <c r="P176" s="30">
        <v>18</v>
      </c>
      <c r="Q176" s="30">
        <v>24</v>
      </c>
      <c r="R176" s="30">
        <v>15</v>
      </c>
      <c r="S176" s="30">
        <v>7</v>
      </c>
      <c r="T176" s="30">
        <v>13</v>
      </c>
      <c r="U176" s="30">
        <v>21.5</v>
      </c>
      <c r="V176" s="30">
        <v>14</v>
      </c>
      <c r="W176" s="30">
        <v>9</v>
      </c>
      <c r="X176" s="30">
        <v>3.5</v>
      </c>
      <c r="Y176" s="30">
        <v>9</v>
      </c>
      <c r="Z176" s="30">
        <v>9.5</v>
      </c>
      <c r="AA176" s="30">
        <v>2</v>
      </c>
      <c r="AB176" s="30">
        <v>11</v>
      </c>
      <c r="AC176" s="30"/>
      <c r="AD176" s="30">
        <v>2</v>
      </c>
      <c r="AE176" s="30">
        <v>3</v>
      </c>
      <c r="AF176" s="30">
        <v>2.5</v>
      </c>
      <c r="AG176" s="30">
        <v>0</v>
      </c>
      <c r="AH176" s="30"/>
      <c r="AI176" s="30">
        <v>100</v>
      </c>
      <c r="AJ176" s="30">
        <v>13.5</v>
      </c>
      <c r="AK176" s="30">
        <v>1</v>
      </c>
      <c r="AL176" s="30"/>
      <c r="AM176" s="30"/>
      <c r="AN176" s="30">
        <v>1</v>
      </c>
      <c r="AO176" s="30"/>
      <c r="AP176" s="30"/>
      <c r="AQ176" s="30"/>
      <c r="AR176" s="30">
        <v>1</v>
      </c>
      <c r="AS176" s="30">
        <v>3</v>
      </c>
      <c r="AT176" s="30">
        <v>3</v>
      </c>
      <c r="AU176" s="30">
        <v>10</v>
      </c>
      <c r="AV176" s="30">
        <v>15</v>
      </c>
      <c r="AW176" s="30">
        <v>4</v>
      </c>
      <c r="AX176" s="30"/>
      <c r="AY176" s="30">
        <v>15</v>
      </c>
      <c r="AZ176" s="30"/>
      <c r="BA176" s="30"/>
      <c r="BB176" s="30"/>
    </row>
    <row r="177" spans="1:54" s="91" customFormat="1" ht="15.75">
      <c r="A177" s="23" t="s">
        <v>21</v>
      </c>
      <c r="B177" s="92"/>
      <c r="C177" s="24"/>
      <c r="D177" s="93"/>
      <c r="E177" s="158">
        <v>351</v>
      </c>
      <c r="F177" s="155">
        <f>E177-G177</f>
        <v>0</v>
      </c>
      <c r="G177" s="122">
        <f>SUM(H177:BB177)</f>
        <v>351</v>
      </c>
      <c r="H177" s="30">
        <v>3</v>
      </c>
      <c r="I177" s="30">
        <v>29</v>
      </c>
      <c r="J177" s="30">
        <v>16.5</v>
      </c>
      <c r="K177" s="30">
        <v>1</v>
      </c>
      <c r="L177" s="30">
        <v>4</v>
      </c>
      <c r="M177" s="30">
        <v>1</v>
      </c>
      <c r="N177" s="30">
        <v>2.5</v>
      </c>
      <c r="O177" s="30">
        <v>35</v>
      </c>
      <c r="P177" s="30">
        <v>3.5</v>
      </c>
      <c r="Q177" s="30">
        <v>11</v>
      </c>
      <c r="R177" s="30">
        <v>2</v>
      </c>
      <c r="S177" s="30">
        <v>1</v>
      </c>
      <c r="T177" s="30">
        <v>3.5</v>
      </c>
      <c r="U177" s="30">
        <v>3</v>
      </c>
      <c r="V177" s="30">
        <v>29.5</v>
      </c>
      <c r="W177" s="30"/>
      <c r="X177" s="30">
        <v>0</v>
      </c>
      <c r="Y177" s="30">
        <v>3</v>
      </c>
      <c r="Z177" s="30">
        <v>1</v>
      </c>
      <c r="AA177" s="30">
        <v>2</v>
      </c>
      <c r="AB177" s="30">
        <v>74</v>
      </c>
      <c r="AC177" s="30"/>
      <c r="AD177" s="30">
        <v>2</v>
      </c>
      <c r="AE177" s="30">
        <v>2</v>
      </c>
      <c r="AF177" s="30"/>
      <c r="AG177" s="30">
        <v>1</v>
      </c>
      <c r="AH177" s="30">
        <v>1</v>
      </c>
      <c r="AI177" s="30">
        <v>0</v>
      </c>
      <c r="AJ177" s="30">
        <v>7.5</v>
      </c>
      <c r="AK177" s="30">
        <v>3</v>
      </c>
      <c r="AL177" s="30"/>
      <c r="AM177" s="30"/>
      <c r="AN177" s="30"/>
      <c r="AO177" s="30"/>
      <c r="AP177" s="30"/>
      <c r="AQ177" s="30"/>
      <c r="AR177" s="30"/>
      <c r="AS177" s="30"/>
      <c r="AT177" s="30"/>
      <c r="AU177" s="30">
        <v>0</v>
      </c>
      <c r="AV177" s="30">
        <v>0</v>
      </c>
      <c r="AW177" s="30">
        <v>15</v>
      </c>
      <c r="AX177" s="30"/>
      <c r="AY177" s="30">
        <v>91</v>
      </c>
      <c r="AZ177" s="30">
        <v>3</v>
      </c>
      <c r="BA177" s="30"/>
      <c r="BB177" s="30"/>
    </row>
    <row r="178" spans="1:54" s="91" customFormat="1" ht="15.75">
      <c r="A178" s="23" t="s">
        <v>23</v>
      </c>
      <c r="B178" s="92"/>
      <c r="C178" s="24"/>
      <c r="D178" s="93"/>
      <c r="E178" s="158">
        <v>625</v>
      </c>
      <c r="F178" s="155">
        <f>E178-G178</f>
        <v>0.5</v>
      </c>
      <c r="G178" s="122">
        <f>SUM(H178:BB178)</f>
        <v>624.5</v>
      </c>
      <c r="H178" s="30">
        <v>10</v>
      </c>
      <c r="I178" s="30">
        <v>26.5</v>
      </c>
      <c r="J178" s="30">
        <v>11</v>
      </c>
      <c r="K178" s="30">
        <v>3.5</v>
      </c>
      <c r="L178" s="30">
        <v>5</v>
      </c>
      <c r="M178" s="30">
        <v>9.5</v>
      </c>
      <c r="N178" s="30">
        <v>11</v>
      </c>
      <c r="O178" s="30">
        <v>37.5</v>
      </c>
      <c r="P178" s="30">
        <v>14</v>
      </c>
      <c r="Q178" s="30">
        <v>20</v>
      </c>
      <c r="R178" s="30">
        <v>19.5</v>
      </c>
      <c r="S178" s="30">
        <v>8.5</v>
      </c>
      <c r="T178" s="30">
        <v>5</v>
      </c>
      <c r="U178" s="30">
        <v>17.5</v>
      </c>
      <c r="V178" s="30">
        <v>30</v>
      </c>
      <c r="W178" s="30">
        <v>8.5</v>
      </c>
      <c r="X178" s="30">
        <v>3</v>
      </c>
      <c r="Y178" s="30">
        <v>8</v>
      </c>
      <c r="Z178" s="30">
        <v>24</v>
      </c>
      <c r="AA178" s="30">
        <v>4</v>
      </c>
      <c r="AB178" s="30">
        <v>10</v>
      </c>
      <c r="AC178" s="30"/>
      <c r="AD178" s="30"/>
      <c r="AE178" s="30"/>
      <c r="AF178" s="30"/>
      <c r="AG178" s="30"/>
      <c r="AH178" s="30">
        <v>0.5</v>
      </c>
      <c r="AI178" s="30">
        <v>30</v>
      </c>
      <c r="AJ178" s="30">
        <v>0.5</v>
      </c>
      <c r="AK178" s="30"/>
      <c r="AL178" s="30"/>
      <c r="AM178" s="30"/>
      <c r="AN178" s="30">
        <v>10</v>
      </c>
      <c r="AO178" s="30">
        <v>5</v>
      </c>
      <c r="AP178" s="30">
        <v>4</v>
      </c>
      <c r="AQ178" s="30">
        <v>0</v>
      </c>
      <c r="AR178" s="30">
        <v>4</v>
      </c>
      <c r="AS178" s="30"/>
      <c r="AT178" s="30">
        <v>5</v>
      </c>
      <c r="AU178" s="30">
        <v>30</v>
      </c>
      <c r="AV178" s="30">
        <v>165</v>
      </c>
      <c r="AW178" s="30">
        <v>84.5</v>
      </c>
      <c r="AX178" s="30"/>
      <c r="AY178" s="30">
        <v>0</v>
      </c>
      <c r="AZ178" s="30"/>
      <c r="BA178" s="30"/>
      <c r="BB178" s="30"/>
    </row>
    <row r="179" spans="1:54" s="91" customFormat="1" ht="15.75">
      <c r="A179" s="94" t="s">
        <v>24</v>
      </c>
      <c r="B179" s="92"/>
      <c r="C179" s="95"/>
      <c r="D179" s="93"/>
      <c r="E179" s="158">
        <v>1355</v>
      </c>
      <c r="F179" s="155">
        <f>E179-G179</f>
        <v>0.5</v>
      </c>
      <c r="G179" s="122">
        <f>SUM(H179:BB179)</f>
        <v>1354.5</v>
      </c>
      <c r="H179" s="30">
        <v>24</v>
      </c>
      <c r="I179" s="30">
        <v>114.5</v>
      </c>
      <c r="J179" s="30">
        <v>83</v>
      </c>
      <c r="K179" s="30">
        <v>74.5</v>
      </c>
      <c r="L179" s="30">
        <v>23</v>
      </c>
      <c r="M179" s="30">
        <v>43.5</v>
      </c>
      <c r="N179" s="30">
        <v>37.5</v>
      </c>
      <c r="O179" s="30">
        <v>94.5</v>
      </c>
      <c r="P179" s="30">
        <v>149.5</v>
      </c>
      <c r="Q179" s="30">
        <v>114</v>
      </c>
      <c r="R179" s="30">
        <v>67</v>
      </c>
      <c r="S179" s="30">
        <v>34</v>
      </c>
      <c r="T179" s="30">
        <v>116</v>
      </c>
      <c r="U179" s="30">
        <v>130</v>
      </c>
      <c r="V179" s="30">
        <v>104</v>
      </c>
      <c r="W179" s="30">
        <v>73</v>
      </c>
      <c r="X179" s="30">
        <v>20.5</v>
      </c>
      <c r="Y179" s="30">
        <v>13</v>
      </c>
      <c r="Z179" s="30">
        <v>10</v>
      </c>
      <c r="AA179" s="30">
        <v>8</v>
      </c>
      <c r="AB179" s="30">
        <v>4</v>
      </c>
      <c r="AC179" s="30"/>
      <c r="AD179" s="30"/>
      <c r="AE179" s="30">
        <v>0.5</v>
      </c>
      <c r="AF179" s="30">
        <v>1.5</v>
      </c>
      <c r="AG179" s="30">
        <v>1</v>
      </c>
      <c r="AH179" s="30">
        <v>1</v>
      </c>
      <c r="AI179" s="30">
        <v>9</v>
      </c>
      <c r="AJ179" s="30">
        <v>1</v>
      </c>
      <c r="AK179" s="30">
        <v>1</v>
      </c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>
        <v>1</v>
      </c>
      <c r="AX179" s="30"/>
      <c r="AY179" s="30">
        <v>1</v>
      </c>
      <c r="AZ179" s="30"/>
      <c r="BA179" s="30"/>
      <c r="BB179" s="30"/>
    </row>
    <row r="180" spans="1:54" s="91" customFormat="1" ht="15.75">
      <c r="A180" s="94" t="s">
        <v>25</v>
      </c>
      <c r="B180" s="92"/>
      <c r="C180" s="95"/>
      <c r="D180" s="93"/>
      <c r="E180" s="158">
        <v>163</v>
      </c>
      <c r="F180" s="155">
        <f>E180-G180</f>
        <v>0.5</v>
      </c>
      <c r="G180" s="122">
        <f>SUM(H180:BB180)</f>
        <v>162.5</v>
      </c>
      <c r="H180" s="30">
        <v>2</v>
      </c>
      <c r="I180" s="30">
        <v>4</v>
      </c>
      <c r="J180" s="30">
        <v>1</v>
      </c>
      <c r="K180" s="30">
        <v>4</v>
      </c>
      <c r="L180" s="30">
        <v>3</v>
      </c>
      <c r="M180" s="30">
        <v>6</v>
      </c>
      <c r="N180" s="30">
        <v>4</v>
      </c>
      <c r="O180" s="30">
        <v>14</v>
      </c>
      <c r="P180" s="30">
        <v>12</v>
      </c>
      <c r="Q180" s="30">
        <v>12</v>
      </c>
      <c r="R180" s="30">
        <v>11</v>
      </c>
      <c r="S180" s="30">
        <v>7</v>
      </c>
      <c r="T180" s="30">
        <v>14</v>
      </c>
      <c r="U180" s="30">
        <v>42.5</v>
      </c>
      <c r="V180" s="30">
        <v>11</v>
      </c>
      <c r="W180" s="30">
        <v>9</v>
      </c>
      <c r="X180" s="30">
        <v>0</v>
      </c>
      <c r="Y180" s="30">
        <v>1</v>
      </c>
      <c r="Z180" s="30">
        <v>1</v>
      </c>
      <c r="AA180" s="30">
        <v>1</v>
      </c>
      <c r="AB180" s="30"/>
      <c r="AC180" s="30"/>
      <c r="AD180" s="30"/>
      <c r="AE180" s="30"/>
      <c r="AF180" s="30"/>
      <c r="AG180" s="30"/>
      <c r="AH180" s="30"/>
      <c r="AI180" s="30">
        <v>2</v>
      </c>
      <c r="AJ180" s="30">
        <v>0</v>
      </c>
      <c r="AK180" s="30"/>
      <c r="AL180" s="30"/>
      <c r="AM180" s="30"/>
      <c r="AN180" s="30"/>
      <c r="AO180" s="30"/>
      <c r="AP180" s="30"/>
      <c r="AQ180" s="30"/>
      <c r="AR180" s="30"/>
      <c r="AS180" s="30">
        <v>1</v>
      </c>
      <c r="AT180" s="30"/>
      <c r="AU180" s="30"/>
      <c r="AV180" s="30"/>
      <c r="AW180" s="30"/>
      <c r="AX180" s="30"/>
      <c r="AY180" s="30">
        <v>0</v>
      </c>
      <c r="AZ180" s="30"/>
      <c r="BA180" s="30"/>
      <c r="BB180" s="30"/>
    </row>
    <row r="181" spans="1:54" s="136" customFormat="1" ht="15.75">
      <c r="A181" s="133" t="s">
        <v>26</v>
      </c>
      <c r="B181" s="134"/>
      <c r="C181" s="135"/>
      <c r="D181" s="131"/>
      <c r="E181" s="132">
        <f t="shared" ref="E181:AJ181" si="124">(E54/E164)/12</f>
        <v>1979.3000426803244</v>
      </c>
      <c r="F181" s="132">
        <f t="shared" si="124"/>
        <v>0</v>
      </c>
      <c r="G181" s="132">
        <f t="shared" si="124"/>
        <v>2005.6222294302088</v>
      </c>
      <c r="H181" s="132">
        <f t="shared" si="124"/>
        <v>1992.7536231884058</v>
      </c>
      <c r="I181" s="132">
        <f t="shared" si="124"/>
        <v>1844.6180555555557</v>
      </c>
      <c r="J181" s="132">
        <f t="shared" si="124"/>
        <v>2057.6131687242801</v>
      </c>
      <c r="K181" s="132">
        <f t="shared" si="124"/>
        <v>2469.1358024691358</v>
      </c>
      <c r="L181" s="132">
        <f t="shared" si="124"/>
        <v>2287.5816993464055</v>
      </c>
      <c r="M181" s="132">
        <f t="shared" si="124"/>
        <v>2358.4905660377358</v>
      </c>
      <c r="N181" s="132">
        <f t="shared" si="124"/>
        <v>2193.627450980392</v>
      </c>
      <c r="O181" s="132">
        <f t="shared" si="124"/>
        <v>1830.3186907838071</v>
      </c>
      <c r="P181" s="132">
        <f t="shared" si="124"/>
        <v>2307.1625344352619</v>
      </c>
      <c r="Q181" s="132">
        <f t="shared" si="124"/>
        <v>2805.6951423785595</v>
      </c>
      <c r="R181" s="132">
        <f t="shared" si="124"/>
        <v>2380.9523809523812</v>
      </c>
      <c r="S181" s="132">
        <f t="shared" si="124"/>
        <v>2366.9467787114845</v>
      </c>
      <c r="T181" s="132">
        <f t="shared" si="124"/>
        <v>2492.2118380062307</v>
      </c>
      <c r="U181" s="132">
        <f t="shared" si="124"/>
        <v>2479.023646071701</v>
      </c>
      <c r="V181" s="132">
        <f t="shared" si="124"/>
        <v>2018.9003436426117</v>
      </c>
      <c r="W181" s="132">
        <f t="shared" si="124"/>
        <v>3147.3533619456371</v>
      </c>
      <c r="X181" s="132">
        <f t="shared" si="124"/>
        <v>2231.638418079096</v>
      </c>
      <c r="Y181" s="132">
        <f t="shared" si="124"/>
        <v>1642.8571428571429</v>
      </c>
      <c r="Z181" s="132">
        <f t="shared" si="124"/>
        <v>1468.2539682539682</v>
      </c>
      <c r="AA181" s="132">
        <f t="shared" si="124"/>
        <v>1979.1666666666667</v>
      </c>
      <c r="AB181" s="132">
        <f t="shared" si="124"/>
        <v>1315.7894736842106</v>
      </c>
      <c r="AC181" s="132" t="e">
        <f t="shared" si="124"/>
        <v>#DIV/0!</v>
      </c>
      <c r="AD181" s="132">
        <f t="shared" si="124"/>
        <v>1625</v>
      </c>
      <c r="AE181" s="132">
        <f t="shared" si="124"/>
        <v>1183.3333333333333</v>
      </c>
      <c r="AF181" s="132">
        <f t="shared" si="124"/>
        <v>1833.3333333333333</v>
      </c>
      <c r="AG181" s="132">
        <f t="shared" si="124"/>
        <v>1250</v>
      </c>
      <c r="AH181" s="132">
        <f t="shared" si="124"/>
        <v>1088.8888888888889</v>
      </c>
      <c r="AI181" s="132">
        <f t="shared" si="124"/>
        <v>1570.0483091787439</v>
      </c>
      <c r="AJ181" s="132">
        <f t="shared" si="124"/>
        <v>2325.5813953488373</v>
      </c>
      <c r="AK181" s="132">
        <f t="shared" ref="AK181:BB181" si="125">(AK54/AK164)/12</f>
        <v>1437.5</v>
      </c>
      <c r="AL181" s="132" t="e">
        <f t="shared" si="125"/>
        <v>#DIV/0!</v>
      </c>
      <c r="AM181" s="132" t="e">
        <f t="shared" si="125"/>
        <v>#DIV/0!</v>
      </c>
      <c r="AN181" s="132">
        <f t="shared" si="125"/>
        <v>1098.4848484848485</v>
      </c>
      <c r="AO181" s="132">
        <f t="shared" si="125"/>
        <v>1466.6666666666667</v>
      </c>
      <c r="AP181" s="132">
        <f t="shared" si="125"/>
        <v>1125</v>
      </c>
      <c r="AQ181" s="132" t="e">
        <f t="shared" si="125"/>
        <v>#DIV/0!</v>
      </c>
      <c r="AR181" s="132">
        <f t="shared" si="125"/>
        <v>1166.6666666666667</v>
      </c>
      <c r="AS181" s="132">
        <f t="shared" si="125"/>
        <v>2222.2222222222222</v>
      </c>
      <c r="AT181" s="132">
        <f t="shared" si="125"/>
        <v>1614.5833333333333</v>
      </c>
      <c r="AU181" s="132">
        <f t="shared" si="125"/>
        <v>1562.5</v>
      </c>
      <c r="AV181" s="132">
        <f t="shared" si="125"/>
        <v>1067.1296296296296</v>
      </c>
      <c r="AW181" s="132">
        <f t="shared" si="125"/>
        <v>1046.6988727858293</v>
      </c>
      <c r="AX181" s="132" t="e">
        <f t="shared" si="125"/>
        <v>#DIV/0!</v>
      </c>
      <c r="AY181" s="132">
        <f t="shared" si="125"/>
        <v>318.06615776081424</v>
      </c>
      <c r="AZ181" s="132">
        <f t="shared" si="125"/>
        <v>5138.8888888888887</v>
      </c>
      <c r="BA181" s="132" t="e">
        <f t="shared" si="125"/>
        <v>#DIV/0!</v>
      </c>
      <c r="BB181" s="132" t="e">
        <f t="shared" si="125"/>
        <v>#DIV/0!</v>
      </c>
    </row>
    <row r="182" spans="1:54" s="100" customFormat="1" ht="15.75">
      <c r="A182" s="96" t="s">
        <v>27</v>
      </c>
      <c r="B182" s="97"/>
      <c r="C182" s="98"/>
      <c r="D182" s="99"/>
      <c r="E182" s="31">
        <f>E165/E175</f>
        <v>1.216255442670537</v>
      </c>
      <c r="F182" s="31">
        <f>F165/F175</f>
        <v>39</v>
      </c>
      <c r="G182" s="130">
        <f t="shared" ref="G182:AX182" si="126">G165/G175</f>
        <v>1.1888162672476399</v>
      </c>
      <c r="H182" s="31">
        <f t="shared" si="126"/>
        <v>1.7058823529411764</v>
      </c>
      <c r="I182" s="31">
        <f t="shared" si="126"/>
        <v>1.8444444444444446</v>
      </c>
      <c r="J182" s="31">
        <f t="shared" si="126"/>
        <v>2.5735294117647061</v>
      </c>
      <c r="K182" s="31">
        <f t="shared" si="126"/>
        <v>6.16</v>
      </c>
      <c r="L182" s="31">
        <f t="shared" si="126"/>
        <v>3.71875</v>
      </c>
      <c r="M182" s="31">
        <f t="shared" si="126"/>
        <v>2.4888888888888889</v>
      </c>
      <c r="N182" s="31">
        <f t="shared" si="126"/>
        <v>1.7755102040816326</v>
      </c>
      <c r="O182" s="31">
        <f t="shared" si="126"/>
        <v>1.3313253012048192</v>
      </c>
      <c r="P182" s="31">
        <f t="shared" si="126"/>
        <v>5.267605633802817</v>
      </c>
      <c r="Q182" s="31">
        <f t="shared" si="126"/>
        <v>2.5090909090909093</v>
      </c>
      <c r="R182" s="31">
        <f t="shared" si="126"/>
        <v>2.3561643835616439</v>
      </c>
      <c r="S182" s="31">
        <f t="shared" si="126"/>
        <v>2.606060606060606</v>
      </c>
      <c r="T182" s="31">
        <f t="shared" si="126"/>
        <v>6.0930232558139537</v>
      </c>
      <c r="U182" s="31">
        <f t="shared" si="126"/>
        <v>4.166666666666667</v>
      </c>
      <c r="V182" s="31">
        <f t="shared" si="126"/>
        <v>1.6394557823129252</v>
      </c>
      <c r="W182" s="31">
        <f t="shared" si="126"/>
        <v>5.6571428571428575</v>
      </c>
      <c r="X182" s="31">
        <f t="shared" si="126"/>
        <v>3.5384615384615383</v>
      </c>
      <c r="Y182" s="31">
        <f t="shared" si="126"/>
        <v>0.7</v>
      </c>
      <c r="Z182" s="31">
        <f t="shared" si="126"/>
        <v>0.52173913043478259</v>
      </c>
      <c r="AA182" s="31">
        <f t="shared" si="126"/>
        <v>1</v>
      </c>
      <c r="AB182" s="31">
        <f t="shared" si="126"/>
        <v>0</v>
      </c>
      <c r="AC182" s="31" t="e">
        <f t="shared" si="126"/>
        <v>#DIV/0!</v>
      </c>
      <c r="AD182" s="31">
        <f t="shared" si="126"/>
        <v>0</v>
      </c>
      <c r="AE182" s="31">
        <f t="shared" si="126"/>
        <v>0</v>
      </c>
      <c r="AF182" s="31">
        <f t="shared" si="126"/>
        <v>0</v>
      </c>
      <c r="AG182" s="31">
        <f t="shared" si="126"/>
        <v>0</v>
      </c>
      <c r="AH182" s="31">
        <f t="shared" si="126"/>
        <v>0</v>
      </c>
      <c r="AI182" s="31">
        <f t="shared" si="126"/>
        <v>5.3846153846153849E-2</v>
      </c>
      <c r="AJ182" s="31">
        <f t="shared" si="126"/>
        <v>0</v>
      </c>
      <c r="AK182" s="31">
        <f t="shared" si="126"/>
        <v>0</v>
      </c>
      <c r="AL182" s="31" t="e">
        <f t="shared" si="126"/>
        <v>#DIV/0!</v>
      </c>
      <c r="AM182" s="31" t="e">
        <f t="shared" si="126"/>
        <v>#DIV/0!</v>
      </c>
      <c r="AN182" s="31">
        <f t="shared" si="126"/>
        <v>0</v>
      </c>
      <c r="AO182" s="31">
        <f t="shared" si="126"/>
        <v>0</v>
      </c>
      <c r="AP182" s="31">
        <f t="shared" si="126"/>
        <v>0</v>
      </c>
      <c r="AQ182" s="31" t="e">
        <f t="shared" si="126"/>
        <v>#DIV/0!</v>
      </c>
      <c r="AR182" s="31">
        <f t="shared" si="126"/>
        <v>0</v>
      </c>
      <c r="AS182" s="31">
        <f t="shared" si="126"/>
        <v>0</v>
      </c>
      <c r="AT182" s="31">
        <f t="shared" si="126"/>
        <v>0</v>
      </c>
      <c r="AU182" s="31">
        <f t="shared" si="126"/>
        <v>0</v>
      </c>
      <c r="AV182" s="31">
        <f t="shared" si="126"/>
        <v>0</v>
      </c>
      <c r="AW182" s="31">
        <f t="shared" si="126"/>
        <v>0</v>
      </c>
      <c r="AX182" s="31" t="e">
        <f t="shared" si="126"/>
        <v>#DIV/0!</v>
      </c>
      <c r="AY182" s="31">
        <f>AY165/AY175</f>
        <v>0</v>
      </c>
      <c r="AZ182" s="31">
        <f>AZ165/AZ175</f>
        <v>0</v>
      </c>
      <c r="BA182" s="31" t="e">
        <f>BA165/BA175</f>
        <v>#DIV/0!</v>
      </c>
      <c r="BB182" s="31" t="e">
        <f>BB165/BB175</f>
        <v>#DIV/0!</v>
      </c>
    </row>
    <row r="183" spans="1:54" s="126" customFormat="1" ht="15.75">
      <c r="A183" s="213" t="s">
        <v>28</v>
      </c>
      <c r="B183" s="123"/>
      <c r="C183" s="124"/>
      <c r="D183" s="93"/>
      <c r="E183" s="158">
        <f>SUM(E184:E186)</f>
        <v>26380</v>
      </c>
      <c r="F183" s="155">
        <f>E183-G183</f>
        <v>0</v>
      </c>
      <c r="G183" s="125">
        <f>SUM(H183:BB183)</f>
        <v>26380</v>
      </c>
      <c r="H183" s="30">
        <f>SUM(H184:H186)</f>
        <v>374</v>
      </c>
      <c r="I183" s="30">
        <f t="shared" ref="I183:W183" si="127">SUM(I184:I186)</f>
        <v>1541</v>
      </c>
      <c r="J183" s="30">
        <f t="shared" si="127"/>
        <v>978</v>
      </c>
      <c r="K183" s="30">
        <f t="shared" si="127"/>
        <v>1032</v>
      </c>
      <c r="L183" s="30">
        <f t="shared" si="127"/>
        <v>991</v>
      </c>
      <c r="M183" s="30">
        <f t="shared" si="127"/>
        <v>1315</v>
      </c>
      <c r="N183" s="30">
        <f t="shared" si="127"/>
        <v>1378</v>
      </c>
      <c r="O183" s="30">
        <f t="shared" si="127"/>
        <v>705</v>
      </c>
      <c r="P183" s="30">
        <f t="shared" si="127"/>
        <v>2021</v>
      </c>
      <c r="Q183" s="30">
        <f t="shared" si="127"/>
        <v>3636</v>
      </c>
      <c r="R183" s="30">
        <f t="shared" si="127"/>
        <v>3802</v>
      </c>
      <c r="S183" s="30">
        <f t="shared" si="127"/>
        <v>1179</v>
      </c>
      <c r="T183" s="30">
        <f t="shared" si="127"/>
        <v>1288</v>
      </c>
      <c r="U183" s="30">
        <f t="shared" si="127"/>
        <v>2860</v>
      </c>
      <c r="V183" s="30">
        <f t="shared" si="127"/>
        <v>799</v>
      </c>
      <c r="W183" s="30">
        <f t="shared" si="127"/>
        <v>2472</v>
      </c>
      <c r="X183" s="30">
        <f>SUM(X184:X186)</f>
        <v>5</v>
      </c>
      <c r="Y183" s="30">
        <f>SUM(Y184:Y186)</f>
        <v>1</v>
      </c>
      <c r="Z183" s="30">
        <f>SUM(Z184:Z186)</f>
        <v>1</v>
      </c>
      <c r="AA183" s="30">
        <f>SUM(AA184:AA186)</f>
        <v>2</v>
      </c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</row>
    <row r="184" spans="1:54" s="91" customFormat="1" ht="15.75">
      <c r="A184" s="214" t="s">
        <v>186</v>
      </c>
      <c r="B184" s="92"/>
      <c r="C184" s="25"/>
      <c r="D184" s="127"/>
      <c r="E184" s="159">
        <v>20151</v>
      </c>
      <c r="F184" s="155">
        <f>E184-G184</f>
        <v>0</v>
      </c>
      <c r="G184" s="122">
        <f>SUM(H184:BB184)</f>
        <v>20151</v>
      </c>
      <c r="H184" s="128">
        <v>229</v>
      </c>
      <c r="I184" s="128">
        <v>1295</v>
      </c>
      <c r="J184" s="128">
        <v>748</v>
      </c>
      <c r="K184" s="128">
        <v>800</v>
      </c>
      <c r="L184" s="128">
        <v>990</v>
      </c>
      <c r="M184" s="128">
        <v>719</v>
      </c>
      <c r="N184" s="128">
        <v>1178</v>
      </c>
      <c r="O184" s="128">
        <v>446</v>
      </c>
      <c r="P184" s="128">
        <v>1704</v>
      </c>
      <c r="Q184" s="128">
        <v>2834</v>
      </c>
      <c r="R184" s="128">
        <v>2248</v>
      </c>
      <c r="S184" s="128">
        <v>888</v>
      </c>
      <c r="T184" s="128">
        <v>1082</v>
      </c>
      <c r="U184" s="128">
        <v>1955</v>
      </c>
      <c r="V184" s="128">
        <v>695</v>
      </c>
      <c r="W184" s="128">
        <v>2340</v>
      </c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</row>
    <row r="185" spans="1:54" s="91" customFormat="1" ht="15.75">
      <c r="A185" s="214" t="s">
        <v>187</v>
      </c>
      <c r="B185" s="92"/>
      <c r="C185" s="25"/>
      <c r="D185" s="127"/>
      <c r="E185" s="159">
        <v>5184</v>
      </c>
      <c r="F185" s="155">
        <f>E185-G185</f>
        <v>0</v>
      </c>
      <c r="G185" s="122">
        <f>SUM(H185:BB185)</f>
        <v>5184</v>
      </c>
      <c r="H185" s="128">
        <v>104</v>
      </c>
      <c r="I185" s="128">
        <v>200</v>
      </c>
      <c r="J185" s="128">
        <v>168</v>
      </c>
      <c r="K185" s="128">
        <v>149</v>
      </c>
      <c r="L185" s="128"/>
      <c r="M185" s="128">
        <v>529</v>
      </c>
      <c r="N185" s="128">
        <v>124</v>
      </c>
      <c r="O185" s="128">
        <v>200</v>
      </c>
      <c r="P185" s="128">
        <v>277</v>
      </c>
      <c r="Q185" s="128">
        <v>749</v>
      </c>
      <c r="R185" s="128">
        <v>1457</v>
      </c>
      <c r="S185" s="128">
        <v>262</v>
      </c>
      <c r="T185" s="128">
        <v>147</v>
      </c>
      <c r="U185" s="128">
        <v>685</v>
      </c>
      <c r="V185" s="128">
        <v>74</v>
      </c>
      <c r="W185" s="128">
        <v>59</v>
      </c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</row>
    <row r="186" spans="1:54" s="91" customFormat="1" ht="15.75">
      <c r="A186" s="214" t="s">
        <v>188</v>
      </c>
      <c r="B186" s="92"/>
      <c r="C186" s="25"/>
      <c r="D186" s="127"/>
      <c r="E186" s="159">
        <v>1045</v>
      </c>
      <c r="F186" s="155">
        <f>E186-G186</f>
        <v>0</v>
      </c>
      <c r="G186" s="122">
        <f>SUM(H186:BB186)</f>
        <v>1045</v>
      </c>
      <c r="H186" s="128">
        <v>41</v>
      </c>
      <c r="I186" s="128">
        <v>46</v>
      </c>
      <c r="J186" s="128">
        <v>62</v>
      </c>
      <c r="K186" s="128">
        <v>83</v>
      </c>
      <c r="L186" s="128">
        <v>1</v>
      </c>
      <c r="M186" s="128">
        <v>67</v>
      </c>
      <c r="N186" s="128">
        <v>76</v>
      </c>
      <c r="O186" s="128">
        <v>59</v>
      </c>
      <c r="P186" s="128">
        <v>40</v>
      </c>
      <c r="Q186" s="128">
        <v>53</v>
      </c>
      <c r="R186" s="128">
        <v>97</v>
      </c>
      <c r="S186" s="128">
        <v>29</v>
      </c>
      <c r="T186" s="128">
        <v>59</v>
      </c>
      <c r="U186" s="128">
        <v>220</v>
      </c>
      <c r="V186" s="128">
        <v>30</v>
      </c>
      <c r="W186" s="128">
        <v>73</v>
      </c>
      <c r="X186" s="128">
        <v>5</v>
      </c>
      <c r="Y186" s="128">
        <v>1</v>
      </c>
      <c r="Z186" s="128">
        <v>1</v>
      </c>
      <c r="AA186" s="128">
        <v>2</v>
      </c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</row>
    <row r="187" spans="1:54" s="91" customFormat="1" ht="15.75">
      <c r="A187" s="214" t="s">
        <v>217</v>
      </c>
      <c r="B187" s="92"/>
      <c r="C187" s="25"/>
      <c r="D187" s="127"/>
      <c r="E187" s="159">
        <v>17640</v>
      </c>
      <c r="F187" s="155">
        <f>E187-G187</f>
        <v>0</v>
      </c>
      <c r="G187" s="122">
        <f>SUM(H187:BB187)</f>
        <v>17640</v>
      </c>
      <c r="H187" s="128">
        <v>81</v>
      </c>
      <c r="I187" s="128">
        <v>1120</v>
      </c>
      <c r="J187" s="128">
        <v>620</v>
      </c>
      <c r="K187" s="128">
        <v>651</v>
      </c>
      <c r="L187" s="128">
        <v>990</v>
      </c>
      <c r="M187" s="128">
        <v>719</v>
      </c>
      <c r="N187" s="128">
        <v>924</v>
      </c>
      <c r="O187" s="128">
        <v>371</v>
      </c>
      <c r="P187" s="128">
        <v>1704</v>
      </c>
      <c r="Q187" s="128">
        <v>2797</v>
      </c>
      <c r="R187" s="128">
        <v>1701</v>
      </c>
      <c r="S187" s="128">
        <v>519</v>
      </c>
      <c r="T187" s="128">
        <v>887</v>
      </c>
      <c r="U187" s="128">
        <v>1786</v>
      </c>
      <c r="V187" s="128">
        <v>677</v>
      </c>
      <c r="W187" s="128">
        <v>2093</v>
      </c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</row>
    <row r="188" spans="1:54" s="91" customFormat="1" ht="15.75">
      <c r="A188" s="215" t="s">
        <v>152</v>
      </c>
      <c r="B188" s="92"/>
      <c r="C188" s="101"/>
      <c r="D188" s="93"/>
      <c r="E188" s="29">
        <f>E183/E164</f>
        <v>8.4443021766965423</v>
      </c>
      <c r="F188" s="29">
        <f>F183/F164</f>
        <v>0</v>
      </c>
      <c r="G188" s="130">
        <f>G183/G164</f>
        <v>8.5566007135906581</v>
      </c>
      <c r="H188" s="29">
        <f>H183/H164</f>
        <v>8.1304347826086953</v>
      </c>
      <c r="I188" s="29">
        <f t="shared" ref="I188:BB188" si="128">I183/I164</f>
        <v>8.0260416666666661</v>
      </c>
      <c r="J188" s="29">
        <f t="shared" si="128"/>
        <v>8.0493827160493829</v>
      </c>
      <c r="K188" s="29">
        <f t="shared" si="128"/>
        <v>10.920634920634921</v>
      </c>
      <c r="L188" s="29">
        <f t="shared" si="128"/>
        <v>12.954248366013072</v>
      </c>
      <c r="M188" s="29">
        <f t="shared" si="128"/>
        <v>16.540880503144653</v>
      </c>
      <c r="N188" s="29">
        <f t="shared" si="128"/>
        <v>20.264705882352942</v>
      </c>
      <c r="O188" s="29">
        <f t="shared" si="128"/>
        <v>3.6434108527131781</v>
      </c>
      <c r="P188" s="29">
        <f t="shared" si="128"/>
        <v>8.3512396694214868</v>
      </c>
      <c r="Q188" s="29">
        <f t="shared" si="128"/>
        <v>18.271356783919597</v>
      </c>
      <c r="R188" s="29">
        <f t="shared" si="128"/>
        <v>31.036734693877552</v>
      </c>
      <c r="S188" s="29">
        <f t="shared" si="128"/>
        <v>19.815126050420169</v>
      </c>
      <c r="T188" s="29">
        <f t="shared" si="128"/>
        <v>8.0249221183800614</v>
      </c>
      <c r="U188" s="29">
        <f t="shared" si="128"/>
        <v>13.089244851258581</v>
      </c>
      <c r="V188" s="29">
        <f t="shared" si="128"/>
        <v>4.1185567010309274</v>
      </c>
      <c r="W188" s="29">
        <f t="shared" si="128"/>
        <v>21.218884120171673</v>
      </c>
      <c r="X188" s="29">
        <f t="shared" si="128"/>
        <v>0.16949152542372881</v>
      </c>
      <c r="Y188" s="29">
        <f t="shared" si="128"/>
        <v>2.8571428571428571E-2</v>
      </c>
      <c r="Z188" s="29">
        <f t="shared" si="128"/>
        <v>1.9047619047619049E-2</v>
      </c>
      <c r="AA188" s="29">
        <f t="shared" si="128"/>
        <v>0.125</v>
      </c>
      <c r="AB188" s="29">
        <f t="shared" si="128"/>
        <v>0</v>
      </c>
      <c r="AC188" s="29" t="e">
        <f t="shared" si="128"/>
        <v>#DIV/0!</v>
      </c>
      <c r="AD188" s="29">
        <f t="shared" si="128"/>
        <v>0</v>
      </c>
      <c r="AE188" s="29">
        <f t="shared" si="128"/>
        <v>0</v>
      </c>
      <c r="AF188" s="29">
        <f t="shared" si="128"/>
        <v>0</v>
      </c>
      <c r="AG188" s="29">
        <f t="shared" si="128"/>
        <v>0</v>
      </c>
      <c r="AH188" s="29">
        <f t="shared" si="128"/>
        <v>0</v>
      </c>
      <c r="AI188" s="29">
        <f t="shared" si="128"/>
        <v>0</v>
      </c>
      <c r="AJ188" s="29">
        <f t="shared" si="128"/>
        <v>0</v>
      </c>
      <c r="AK188" s="29">
        <f t="shared" si="128"/>
        <v>0</v>
      </c>
      <c r="AL188" s="29" t="e">
        <f t="shared" si="128"/>
        <v>#DIV/0!</v>
      </c>
      <c r="AM188" s="29" t="e">
        <f t="shared" si="128"/>
        <v>#DIV/0!</v>
      </c>
      <c r="AN188" s="29">
        <f t="shared" si="128"/>
        <v>0</v>
      </c>
      <c r="AO188" s="29">
        <f t="shared" si="128"/>
        <v>0</v>
      </c>
      <c r="AP188" s="29">
        <f t="shared" si="128"/>
        <v>0</v>
      </c>
      <c r="AQ188" s="29" t="e">
        <f t="shared" si="128"/>
        <v>#DIV/0!</v>
      </c>
      <c r="AR188" s="29">
        <f t="shared" si="128"/>
        <v>0</v>
      </c>
      <c r="AS188" s="29">
        <f t="shared" si="128"/>
        <v>0</v>
      </c>
      <c r="AT188" s="29">
        <f t="shared" si="128"/>
        <v>0</v>
      </c>
      <c r="AU188" s="29">
        <f t="shared" si="128"/>
        <v>0</v>
      </c>
      <c r="AV188" s="29">
        <f t="shared" si="128"/>
        <v>0</v>
      </c>
      <c r="AW188" s="29">
        <f t="shared" si="128"/>
        <v>0</v>
      </c>
      <c r="AX188" s="29" t="e">
        <f t="shared" si="128"/>
        <v>#DIV/0!</v>
      </c>
      <c r="AY188" s="29">
        <f t="shared" si="128"/>
        <v>0</v>
      </c>
      <c r="AZ188" s="29">
        <f t="shared" si="128"/>
        <v>0</v>
      </c>
      <c r="BA188" s="29" t="e">
        <f>BA183/BA164</f>
        <v>#DIV/0!</v>
      </c>
      <c r="BB188" s="29" t="e">
        <f t="shared" si="128"/>
        <v>#DIV/0!</v>
      </c>
    </row>
  </sheetData>
  <sheetProtection selectLockedCells="1"/>
  <autoFilter ref="A1:BB188"/>
  <mergeCells count="28">
    <mergeCell ref="B161:C161"/>
    <mergeCell ref="B82:C82"/>
    <mergeCell ref="B83:C83"/>
    <mergeCell ref="B85:C85"/>
    <mergeCell ref="B86:C86"/>
    <mergeCell ref="B135:C135"/>
    <mergeCell ref="B139:C139"/>
    <mergeCell ref="B154:C154"/>
    <mergeCell ref="B156:C156"/>
    <mergeCell ref="B158:C158"/>
    <mergeCell ref="A153:C153"/>
    <mergeCell ref="A138:D138"/>
    <mergeCell ref="B147:C147"/>
    <mergeCell ref="A53:C53"/>
    <mergeCell ref="B92:C92"/>
    <mergeCell ref="B95:C95"/>
    <mergeCell ref="B132:C132"/>
    <mergeCell ref="A4:C4"/>
    <mergeCell ref="B7:C7"/>
    <mergeCell ref="B17:C17"/>
    <mergeCell ref="B21:C21"/>
    <mergeCell ref="B28:C28"/>
    <mergeCell ref="B54:C54"/>
    <mergeCell ref="B56:C56"/>
    <mergeCell ref="B61:C61"/>
    <mergeCell ref="B62:C62"/>
    <mergeCell ref="B78:C78"/>
    <mergeCell ref="B81:C81"/>
  </mergeCells>
  <dataValidations count="3">
    <dataValidation type="whole" operator="lessThan" allowBlank="1" showInputMessage="1" showErrorMessage="1" error="Въвежда се цяло число!" sqref="D136:D137">
      <formula1>999999999999999000</formula1>
    </dataValidation>
    <dataValidation type="whole" operator="lessThan" allowBlank="1" showInputMessage="1" showErrorMessage="1" error="Въвежда се цяло число!" sqref="G162 E116:E124 G133:G134 G159 G157 G155 G136:G137 G87:G91 G171:G174 G166:G169 G176:G180 G84:G85 G79:G82 G62:BB62 G57:G61 G55 G112:BB114 G148:G152 G140:G146 G54:BB54 G56:BB56 E86 G78:BB78 G175:BB175 G86:BB86 G164:BB165 G170:BB170 G92:BB92 E107:E114 G135:BB135 G132:BB132 G83:BB83 G153:BB154 G156:BB156 G158:BB158 G147:BB147 E147 E158 E156 E153:E154 E83 E132 E135 E92 E170 E164:E165 G183:G187 E175 E78 E62 E56 E54 E138:E139 G138:BB139 H94:BB97 E94:E105 G99:BB101 G103:BB105 G108:BB110 G6:BB7 G121:G131 G93:G97 G106 G9:BB11 E6:E52 G13:BB52 G115 G117:G119 G63:G77">
      <formula1>99999999999999900</formula1>
    </dataValidation>
    <dataValidation type="whole" operator="lessThan" allowBlank="1" showInputMessage="1" error="Въвежда се цяло число!" sqref="G8:BB8 G12:BB12 G98:BB98 G102:BB102 G107:BB107 G111:BB111 G116:BB116 G120:BB120">
      <formula1>99999999999999900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3" sqref="B13"/>
    </sheetView>
  </sheetViews>
  <sheetFormatPr defaultRowHeight="18.75"/>
  <cols>
    <col min="1" max="1" width="6.28515625" style="321" bestFit="1" customWidth="1"/>
    <col min="2" max="2" width="46.140625" style="322" customWidth="1"/>
    <col min="3" max="3" width="18.85546875" style="321" customWidth="1"/>
    <col min="4" max="4" width="21" style="323" customWidth="1"/>
    <col min="5" max="5" width="19" style="321" customWidth="1"/>
    <col min="6" max="6" width="18.85546875" style="321" customWidth="1"/>
    <col min="7" max="7" width="19.28515625" style="323" customWidth="1"/>
    <col min="8" max="8" width="19.42578125" style="321" customWidth="1"/>
    <col min="9" max="9" width="18.5703125" style="321" customWidth="1"/>
    <col min="10" max="10" width="18.28515625" style="323" customWidth="1"/>
    <col min="11" max="11" width="21.28515625" style="321" customWidth="1"/>
    <col min="12" max="12" width="21" style="321" customWidth="1"/>
    <col min="13" max="13" width="22.5703125" style="323" customWidth="1"/>
    <col min="14" max="14" width="19.28515625" style="325" customWidth="1"/>
    <col min="15" max="15" width="20.28515625" style="325" customWidth="1"/>
    <col min="16" max="16" width="18.7109375" style="326" customWidth="1"/>
    <col min="17" max="18" width="20.28515625" style="326" customWidth="1"/>
    <col min="19" max="19" width="19.5703125" style="327" customWidth="1"/>
    <col min="20" max="20" width="16.5703125" style="323" customWidth="1"/>
    <col min="21" max="21" width="21.42578125" style="321" customWidth="1"/>
    <col min="22" max="22" width="22.28515625" style="321" bestFit="1" customWidth="1"/>
    <col min="23" max="23" width="23.28515625" style="321" customWidth="1"/>
    <col min="24" max="255" width="9.140625" style="321"/>
    <col min="256" max="256" width="4.5703125" style="321" bestFit="1" customWidth="1"/>
    <col min="257" max="257" width="47.5703125" style="321" customWidth="1"/>
    <col min="258" max="258" width="20.140625" style="321" bestFit="1" customWidth="1"/>
    <col min="259" max="259" width="21.5703125" style="321" bestFit="1" customWidth="1"/>
    <col min="260" max="260" width="20.85546875" style="321" bestFit="1" customWidth="1"/>
    <col min="261" max="261" width="21.85546875" style="321" customWidth="1"/>
    <col min="262" max="263" width="19.85546875" style="321" customWidth="1"/>
    <col min="264" max="264" width="21" style="321" bestFit="1" customWidth="1"/>
    <col min="265" max="265" width="21.5703125" style="321" bestFit="1" customWidth="1"/>
    <col min="266" max="267" width="20.28515625" style="321" customWidth="1"/>
    <col min="268" max="268" width="16.85546875" style="321" customWidth="1"/>
    <col min="269" max="269" width="16.5703125" style="321" customWidth="1"/>
    <col min="270" max="270" width="20.5703125" style="321" customWidth="1"/>
    <col min="271" max="274" width="19.85546875" style="321" customWidth="1"/>
    <col min="275" max="278" width="9.140625" style="321" customWidth="1"/>
    <col min="279" max="511" width="9.140625" style="321"/>
    <col min="512" max="512" width="4.5703125" style="321" bestFit="1" customWidth="1"/>
    <col min="513" max="513" width="47.5703125" style="321" customWidth="1"/>
    <col min="514" max="514" width="20.140625" style="321" bestFit="1" customWidth="1"/>
    <col min="515" max="515" width="21.5703125" style="321" bestFit="1" customWidth="1"/>
    <col min="516" max="516" width="20.85546875" style="321" bestFit="1" customWidth="1"/>
    <col min="517" max="517" width="21.85546875" style="321" customWidth="1"/>
    <col min="518" max="519" width="19.85546875" style="321" customWidth="1"/>
    <col min="520" max="520" width="21" style="321" bestFit="1" customWidth="1"/>
    <col min="521" max="521" width="21.5703125" style="321" bestFit="1" customWidth="1"/>
    <col min="522" max="523" width="20.28515625" style="321" customWidth="1"/>
    <col min="524" max="524" width="16.85546875" style="321" customWidth="1"/>
    <col min="525" max="525" width="16.5703125" style="321" customWidth="1"/>
    <col min="526" max="526" width="20.5703125" style="321" customWidth="1"/>
    <col min="527" max="530" width="19.85546875" style="321" customWidth="1"/>
    <col min="531" max="534" width="9.140625" style="321" customWidth="1"/>
    <col min="535" max="767" width="9.140625" style="321"/>
    <col min="768" max="768" width="4.5703125" style="321" bestFit="1" customWidth="1"/>
    <col min="769" max="769" width="47.5703125" style="321" customWidth="1"/>
    <col min="770" max="770" width="20.140625" style="321" bestFit="1" customWidth="1"/>
    <col min="771" max="771" width="21.5703125" style="321" bestFit="1" customWidth="1"/>
    <col min="772" max="772" width="20.85546875" style="321" bestFit="1" customWidth="1"/>
    <col min="773" max="773" width="21.85546875" style="321" customWidth="1"/>
    <col min="774" max="775" width="19.85546875" style="321" customWidth="1"/>
    <col min="776" max="776" width="21" style="321" bestFit="1" customWidth="1"/>
    <col min="777" max="777" width="21.5703125" style="321" bestFit="1" customWidth="1"/>
    <col min="778" max="779" width="20.28515625" style="321" customWidth="1"/>
    <col min="780" max="780" width="16.85546875" style="321" customWidth="1"/>
    <col min="781" max="781" width="16.5703125" style="321" customWidth="1"/>
    <col min="782" max="782" width="20.5703125" style="321" customWidth="1"/>
    <col min="783" max="786" width="19.85546875" style="321" customWidth="1"/>
    <col min="787" max="790" width="9.140625" style="321" customWidth="1"/>
    <col min="791" max="1023" width="9.140625" style="321"/>
    <col min="1024" max="1024" width="4.5703125" style="321" bestFit="1" customWidth="1"/>
    <col min="1025" max="1025" width="47.5703125" style="321" customWidth="1"/>
    <col min="1026" max="1026" width="20.140625" style="321" bestFit="1" customWidth="1"/>
    <col min="1027" max="1027" width="21.5703125" style="321" bestFit="1" customWidth="1"/>
    <col min="1028" max="1028" width="20.85546875" style="321" bestFit="1" customWidth="1"/>
    <col min="1029" max="1029" width="21.85546875" style="321" customWidth="1"/>
    <col min="1030" max="1031" width="19.85546875" style="321" customWidth="1"/>
    <col min="1032" max="1032" width="21" style="321" bestFit="1" customWidth="1"/>
    <col min="1033" max="1033" width="21.5703125" style="321" bestFit="1" customWidth="1"/>
    <col min="1034" max="1035" width="20.28515625" style="321" customWidth="1"/>
    <col min="1036" max="1036" width="16.85546875" style="321" customWidth="1"/>
    <col min="1037" max="1037" width="16.5703125" style="321" customWidth="1"/>
    <col min="1038" max="1038" width="20.5703125" style="321" customWidth="1"/>
    <col min="1039" max="1042" width="19.85546875" style="321" customWidth="1"/>
    <col min="1043" max="1046" width="9.140625" style="321" customWidth="1"/>
    <col min="1047" max="1279" width="9.140625" style="321"/>
    <col min="1280" max="1280" width="4.5703125" style="321" bestFit="1" customWidth="1"/>
    <col min="1281" max="1281" width="47.5703125" style="321" customWidth="1"/>
    <col min="1282" max="1282" width="20.140625" style="321" bestFit="1" customWidth="1"/>
    <col min="1283" max="1283" width="21.5703125" style="321" bestFit="1" customWidth="1"/>
    <col min="1284" max="1284" width="20.85546875" style="321" bestFit="1" customWidth="1"/>
    <col min="1285" max="1285" width="21.85546875" style="321" customWidth="1"/>
    <col min="1286" max="1287" width="19.85546875" style="321" customWidth="1"/>
    <col min="1288" max="1288" width="21" style="321" bestFit="1" customWidth="1"/>
    <col min="1289" max="1289" width="21.5703125" style="321" bestFit="1" customWidth="1"/>
    <col min="1290" max="1291" width="20.28515625" style="321" customWidth="1"/>
    <col min="1292" max="1292" width="16.85546875" style="321" customWidth="1"/>
    <col min="1293" max="1293" width="16.5703125" style="321" customWidth="1"/>
    <col min="1294" max="1294" width="20.5703125" style="321" customWidth="1"/>
    <col min="1295" max="1298" width="19.85546875" style="321" customWidth="1"/>
    <col min="1299" max="1302" width="9.140625" style="321" customWidth="1"/>
    <col min="1303" max="1535" width="9.140625" style="321"/>
    <col min="1536" max="1536" width="4.5703125" style="321" bestFit="1" customWidth="1"/>
    <col min="1537" max="1537" width="47.5703125" style="321" customWidth="1"/>
    <col min="1538" max="1538" width="20.140625" style="321" bestFit="1" customWidth="1"/>
    <col min="1539" max="1539" width="21.5703125" style="321" bestFit="1" customWidth="1"/>
    <col min="1540" max="1540" width="20.85546875" style="321" bestFit="1" customWidth="1"/>
    <col min="1541" max="1541" width="21.85546875" style="321" customWidth="1"/>
    <col min="1542" max="1543" width="19.85546875" style="321" customWidth="1"/>
    <col min="1544" max="1544" width="21" style="321" bestFit="1" customWidth="1"/>
    <col min="1545" max="1545" width="21.5703125" style="321" bestFit="1" customWidth="1"/>
    <col min="1546" max="1547" width="20.28515625" style="321" customWidth="1"/>
    <col min="1548" max="1548" width="16.85546875" style="321" customWidth="1"/>
    <col min="1549" max="1549" width="16.5703125" style="321" customWidth="1"/>
    <col min="1550" max="1550" width="20.5703125" style="321" customWidth="1"/>
    <col min="1551" max="1554" width="19.85546875" style="321" customWidth="1"/>
    <col min="1555" max="1558" width="9.140625" style="321" customWidth="1"/>
    <col min="1559" max="1791" width="9.140625" style="321"/>
    <col min="1792" max="1792" width="4.5703125" style="321" bestFit="1" customWidth="1"/>
    <col min="1793" max="1793" width="47.5703125" style="321" customWidth="1"/>
    <col min="1794" max="1794" width="20.140625" style="321" bestFit="1" customWidth="1"/>
    <col min="1795" max="1795" width="21.5703125" style="321" bestFit="1" customWidth="1"/>
    <col min="1796" max="1796" width="20.85546875" style="321" bestFit="1" customWidth="1"/>
    <col min="1797" max="1797" width="21.85546875" style="321" customWidth="1"/>
    <col min="1798" max="1799" width="19.85546875" style="321" customWidth="1"/>
    <col min="1800" max="1800" width="21" style="321" bestFit="1" customWidth="1"/>
    <col min="1801" max="1801" width="21.5703125" style="321" bestFit="1" customWidth="1"/>
    <col min="1802" max="1803" width="20.28515625" style="321" customWidth="1"/>
    <col min="1804" max="1804" width="16.85546875" style="321" customWidth="1"/>
    <col min="1805" max="1805" width="16.5703125" style="321" customWidth="1"/>
    <col min="1806" max="1806" width="20.5703125" style="321" customWidth="1"/>
    <col min="1807" max="1810" width="19.85546875" style="321" customWidth="1"/>
    <col min="1811" max="1814" width="9.140625" style="321" customWidth="1"/>
    <col min="1815" max="2047" width="9.140625" style="321"/>
    <col min="2048" max="2048" width="4.5703125" style="321" bestFit="1" customWidth="1"/>
    <col min="2049" max="2049" width="47.5703125" style="321" customWidth="1"/>
    <col min="2050" max="2050" width="20.140625" style="321" bestFit="1" customWidth="1"/>
    <col min="2051" max="2051" width="21.5703125" style="321" bestFit="1" customWidth="1"/>
    <col min="2052" max="2052" width="20.85546875" style="321" bestFit="1" customWidth="1"/>
    <col min="2053" max="2053" width="21.85546875" style="321" customWidth="1"/>
    <col min="2054" max="2055" width="19.85546875" style="321" customWidth="1"/>
    <col min="2056" max="2056" width="21" style="321" bestFit="1" customWidth="1"/>
    <col min="2057" max="2057" width="21.5703125" style="321" bestFit="1" customWidth="1"/>
    <col min="2058" max="2059" width="20.28515625" style="321" customWidth="1"/>
    <col min="2060" max="2060" width="16.85546875" style="321" customWidth="1"/>
    <col min="2061" max="2061" width="16.5703125" style="321" customWidth="1"/>
    <col min="2062" max="2062" width="20.5703125" style="321" customWidth="1"/>
    <col min="2063" max="2066" width="19.85546875" style="321" customWidth="1"/>
    <col min="2067" max="2070" width="9.140625" style="321" customWidth="1"/>
    <col min="2071" max="2303" width="9.140625" style="321"/>
    <col min="2304" max="2304" width="4.5703125" style="321" bestFit="1" customWidth="1"/>
    <col min="2305" max="2305" width="47.5703125" style="321" customWidth="1"/>
    <col min="2306" max="2306" width="20.140625" style="321" bestFit="1" customWidth="1"/>
    <col min="2307" max="2307" width="21.5703125" style="321" bestFit="1" customWidth="1"/>
    <col min="2308" max="2308" width="20.85546875" style="321" bestFit="1" customWidth="1"/>
    <col min="2309" max="2309" width="21.85546875" style="321" customWidth="1"/>
    <col min="2310" max="2311" width="19.85546875" style="321" customWidth="1"/>
    <col min="2312" max="2312" width="21" style="321" bestFit="1" customWidth="1"/>
    <col min="2313" max="2313" width="21.5703125" style="321" bestFit="1" customWidth="1"/>
    <col min="2314" max="2315" width="20.28515625" style="321" customWidth="1"/>
    <col min="2316" max="2316" width="16.85546875" style="321" customWidth="1"/>
    <col min="2317" max="2317" width="16.5703125" style="321" customWidth="1"/>
    <col min="2318" max="2318" width="20.5703125" style="321" customWidth="1"/>
    <col min="2319" max="2322" width="19.85546875" style="321" customWidth="1"/>
    <col min="2323" max="2326" width="9.140625" style="321" customWidth="1"/>
    <col min="2327" max="2559" width="9.140625" style="321"/>
    <col min="2560" max="2560" width="4.5703125" style="321" bestFit="1" customWidth="1"/>
    <col min="2561" max="2561" width="47.5703125" style="321" customWidth="1"/>
    <col min="2562" max="2562" width="20.140625" style="321" bestFit="1" customWidth="1"/>
    <col min="2563" max="2563" width="21.5703125" style="321" bestFit="1" customWidth="1"/>
    <col min="2564" max="2564" width="20.85546875" style="321" bestFit="1" customWidth="1"/>
    <col min="2565" max="2565" width="21.85546875" style="321" customWidth="1"/>
    <col min="2566" max="2567" width="19.85546875" style="321" customWidth="1"/>
    <col min="2568" max="2568" width="21" style="321" bestFit="1" customWidth="1"/>
    <col min="2569" max="2569" width="21.5703125" style="321" bestFit="1" customWidth="1"/>
    <col min="2570" max="2571" width="20.28515625" style="321" customWidth="1"/>
    <col min="2572" max="2572" width="16.85546875" style="321" customWidth="1"/>
    <col min="2573" max="2573" width="16.5703125" style="321" customWidth="1"/>
    <col min="2574" max="2574" width="20.5703125" style="321" customWidth="1"/>
    <col min="2575" max="2578" width="19.85546875" style="321" customWidth="1"/>
    <col min="2579" max="2582" width="9.140625" style="321" customWidth="1"/>
    <col min="2583" max="2815" width="9.140625" style="321"/>
    <col min="2816" max="2816" width="4.5703125" style="321" bestFit="1" customWidth="1"/>
    <col min="2817" max="2817" width="47.5703125" style="321" customWidth="1"/>
    <col min="2818" max="2818" width="20.140625" style="321" bestFit="1" customWidth="1"/>
    <col min="2819" max="2819" width="21.5703125" style="321" bestFit="1" customWidth="1"/>
    <col min="2820" max="2820" width="20.85546875" style="321" bestFit="1" customWidth="1"/>
    <col min="2821" max="2821" width="21.85546875" style="321" customWidth="1"/>
    <col min="2822" max="2823" width="19.85546875" style="321" customWidth="1"/>
    <col min="2824" max="2824" width="21" style="321" bestFit="1" customWidth="1"/>
    <col min="2825" max="2825" width="21.5703125" style="321" bestFit="1" customWidth="1"/>
    <col min="2826" max="2827" width="20.28515625" style="321" customWidth="1"/>
    <col min="2828" max="2828" width="16.85546875" style="321" customWidth="1"/>
    <col min="2829" max="2829" width="16.5703125" style="321" customWidth="1"/>
    <col min="2830" max="2830" width="20.5703125" style="321" customWidth="1"/>
    <col min="2831" max="2834" width="19.85546875" style="321" customWidth="1"/>
    <col min="2835" max="2838" width="9.140625" style="321" customWidth="1"/>
    <col min="2839" max="3071" width="9.140625" style="321"/>
    <col min="3072" max="3072" width="4.5703125" style="321" bestFit="1" customWidth="1"/>
    <col min="3073" max="3073" width="47.5703125" style="321" customWidth="1"/>
    <col min="3074" max="3074" width="20.140625" style="321" bestFit="1" customWidth="1"/>
    <col min="3075" max="3075" width="21.5703125" style="321" bestFit="1" customWidth="1"/>
    <col min="3076" max="3076" width="20.85546875" style="321" bestFit="1" customWidth="1"/>
    <col min="3077" max="3077" width="21.85546875" style="321" customWidth="1"/>
    <col min="3078" max="3079" width="19.85546875" style="321" customWidth="1"/>
    <col min="3080" max="3080" width="21" style="321" bestFit="1" customWidth="1"/>
    <col min="3081" max="3081" width="21.5703125" style="321" bestFit="1" customWidth="1"/>
    <col min="3082" max="3083" width="20.28515625" style="321" customWidth="1"/>
    <col min="3084" max="3084" width="16.85546875" style="321" customWidth="1"/>
    <col min="3085" max="3085" width="16.5703125" style="321" customWidth="1"/>
    <col min="3086" max="3086" width="20.5703125" style="321" customWidth="1"/>
    <col min="3087" max="3090" width="19.85546875" style="321" customWidth="1"/>
    <col min="3091" max="3094" width="9.140625" style="321" customWidth="1"/>
    <col min="3095" max="3327" width="9.140625" style="321"/>
    <col min="3328" max="3328" width="4.5703125" style="321" bestFit="1" customWidth="1"/>
    <col min="3329" max="3329" width="47.5703125" style="321" customWidth="1"/>
    <col min="3330" max="3330" width="20.140625" style="321" bestFit="1" customWidth="1"/>
    <col min="3331" max="3331" width="21.5703125" style="321" bestFit="1" customWidth="1"/>
    <col min="3332" max="3332" width="20.85546875" style="321" bestFit="1" customWidth="1"/>
    <col min="3333" max="3333" width="21.85546875" style="321" customWidth="1"/>
    <col min="3334" max="3335" width="19.85546875" style="321" customWidth="1"/>
    <col min="3336" max="3336" width="21" style="321" bestFit="1" customWidth="1"/>
    <col min="3337" max="3337" width="21.5703125" style="321" bestFit="1" customWidth="1"/>
    <col min="3338" max="3339" width="20.28515625" style="321" customWidth="1"/>
    <col min="3340" max="3340" width="16.85546875" style="321" customWidth="1"/>
    <col min="3341" max="3341" width="16.5703125" style="321" customWidth="1"/>
    <col min="3342" max="3342" width="20.5703125" style="321" customWidth="1"/>
    <col min="3343" max="3346" width="19.85546875" style="321" customWidth="1"/>
    <col min="3347" max="3350" width="9.140625" style="321" customWidth="1"/>
    <col min="3351" max="3583" width="9.140625" style="321"/>
    <col min="3584" max="3584" width="4.5703125" style="321" bestFit="1" customWidth="1"/>
    <col min="3585" max="3585" width="47.5703125" style="321" customWidth="1"/>
    <col min="3586" max="3586" width="20.140625" style="321" bestFit="1" customWidth="1"/>
    <col min="3587" max="3587" width="21.5703125" style="321" bestFit="1" customWidth="1"/>
    <col min="3588" max="3588" width="20.85546875" style="321" bestFit="1" customWidth="1"/>
    <col min="3589" max="3589" width="21.85546875" style="321" customWidth="1"/>
    <col min="3590" max="3591" width="19.85546875" style="321" customWidth="1"/>
    <col min="3592" max="3592" width="21" style="321" bestFit="1" customWidth="1"/>
    <col min="3593" max="3593" width="21.5703125" style="321" bestFit="1" customWidth="1"/>
    <col min="3594" max="3595" width="20.28515625" style="321" customWidth="1"/>
    <col min="3596" max="3596" width="16.85546875" style="321" customWidth="1"/>
    <col min="3597" max="3597" width="16.5703125" style="321" customWidth="1"/>
    <col min="3598" max="3598" width="20.5703125" style="321" customWidth="1"/>
    <col min="3599" max="3602" width="19.85546875" style="321" customWidth="1"/>
    <col min="3603" max="3606" width="9.140625" style="321" customWidth="1"/>
    <col min="3607" max="3839" width="9.140625" style="321"/>
    <col min="3840" max="3840" width="4.5703125" style="321" bestFit="1" customWidth="1"/>
    <col min="3841" max="3841" width="47.5703125" style="321" customWidth="1"/>
    <col min="3842" max="3842" width="20.140625" style="321" bestFit="1" customWidth="1"/>
    <col min="3843" max="3843" width="21.5703125" style="321" bestFit="1" customWidth="1"/>
    <col min="3844" max="3844" width="20.85546875" style="321" bestFit="1" customWidth="1"/>
    <col min="3845" max="3845" width="21.85546875" style="321" customWidth="1"/>
    <col min="3846" max="3847" width="19.85546875" style="321" customWidth="1"/>
    <col min="3848" max="3848" width="21" style="321" bestFit="1" customWidth="1"/>
    <col min="3849" max="3849" width="21.5703125" style="321" bestFit="1" customWidth="1"/>
    <col min="3850" max="3851" width="20.28515625" style="321" customWidth="1"/>
    <col min="3852" max="3852" width="16.85546875" style="321" customWidth="1"/>
    <col min="3853" max="3853" width="16.5703125" style="321" customWidth="1"/>
    <col min="3854" max="3854" width="20.5703125" style="321" customWidth="1"/>
    <col min="3855" max="3858" width="19.85546875" style="321" customWidth="1"/>
    <col min="3859" max="3862" width="9.140625" style="321" customWidth="1"/>
    <col min="3863" max="4095" width="9.140625" style="321"/>
    <col min="4096" max="4096" width="4.5703125" style="321" bestFit="1" customWidth="1"/>
    <col min="4097" max="4097" width="47.5703125" style="321" customWidth="1"/>
    <col min="4098" max="4098" width="20.140625" style="321" bestFit="1" customWidth="1"/>
    <col min="4099" max="4099" width="21.5703125" style="321" bestFit="1" customWidth="1"/>
    <col min="4100" max="4100" width="20.85546875" style="321" bestFit="1" customWidth="1"/>
    <col min="4101" max="4101" width="21.85546875" style="321" customWidth="1"/>
    <col min="4102" max="4103" width="19.85546875" style="321" customWidth="1"/>
    <col min="4104" max="4104" width="21" style="321" bestFit="1" customWidth="1"/>
    <col min="4105" max="4105" width="21.5703125" style="321" bestFit="1" customWidth="1"/>
    <col min="4106" max="4107" width="20.28515625" style="321" customWidth="1"/>
    <col min="4108" max="4108" width="16.85546875" style="321" customWidth="1"/>
    <col min="4109" max="4109" width="16.5703125" style="321" customWidth="1"/>
    <col min="4110" max="4110" width="20.5703125" style="321" customWidth="1"/>
    <col min="4111" max="4114" width="19.85546875" style="321" customWidth="1"/>
    <col min="4115" max="4118" width="9.140625" style="321" customWidth="1"/>
    <col min="4119" max="4351" width="9.140625" style="321"/>
    <col min="4352" max="4352" width="4.5703125" style="321" bestFit="1" customWidth="1"/>
    <col min="4353" max="4353" width="47.5703125" style="321" customWidth="1"/>
    <col min="4354" max="4354" width="20.140625" style="321" bestFit="1" customWidth="1"/>
    <col min="4355" max="4355" width="21.5703125" style="321" bestFit="1" customWidth="1"/>
    <col min="4356" max="4356" width="20.85546875" style="321" bestFit="1" customWidth="1"/>
    <col min="4357" max="4357" width="21.85546875" style="321" customWidth="1"/>
    <col min="4358" max="4359" width="19.85546875" style="321" customWidth="1"/>
    <col min="4360" max="4360" width="21" style="321" bestFit="1" customWidth="1"/>
    <col min="4361" max="4361" width="21.5703125" style="321" bestFit="1" customWidth="1"/>
    <col min="4362" max="4363" width="20.28515625" style="321" customWidth="1"/>
    <col min="4364" max="4364" width="16.85546875" style="321" customWidth="1"/>
    <col min="4365" max="4365" width="16.5703125" style="321" customWidth="1"/>
    <col min="4366" max="4366" width="20.5703125" style="321" customWidth="1"/>
    <col min="4367" max="4370" width="19.85546875" style="321" customWidth="1"/>
    <col min="4371" max="4374" width="9.140625" style="321" customWidth="1"/>
    <col min="4375" max="4607" width="9.140625" style="321"/>
    <col min="4608" max="4608" width="4.5703125" style="321" bestFit="1" customWidth="1"/>
    <col min="4609" max="4609" width="47.5703125" style="321" customWidth="1"/>
    <col min="4610" max="4610" width="20.140625" style="321" bestFit="1" customWidth="1"/>
    <col min="4611" max="4611" width="21.5703125" style="321" bestFit="1" customWidth="1"/>
    <col min="4612" max="4612" width="20.85546875" style="321" bestFit="1" customWidth="1"/>
    <col min="4613" max="4613" width="21.85546875" style="321" customWidth="1"/>
    <col min="4614" max="4615" width="19.85546875" style="321" customWidth="1"/>
    <col min="4616" max="4616" width="21" style="321" bestFit="1" customWidth="1"/>
    <col min="4617" max="4617" width="21.5703125" style="321" bestFit="1" customWidth="1"/>
    <col min="4618" max="4619" width="20.28515625" style="321" customWidth="1"/>
    <col min="4620" max="4620" width="16.85546875" style="321" customWidth="1"/>
    <col min="4621" max="4621" width="16.5703125" style="321" customWidth="1"/>
    <col min="4622" max="4622" width="20.5703125" style="321" customWidth="1"/>
    <col min="4623" max="4626" width="19.85546875" style="321" customWidth="1"/>
    <col min="4627" max="4630" width="9.140625" style="321" customWidth="1"/>
    <col min="4631" max="4863" width="9.140625" style="321"/>
    <col min="4864" max="4864" width="4.5703125" style="321" bestFit="1" customWidth="1"/>
    <col min="4865" max="4865" width="47.5703125" style="321" customWidth="1"/>
    <col min="4866" max="4866" width="20.140625" style="321" bestFit="1" customWidth="1"/>
    <col min="4867" max="4867" width="21.5703125" style="321" bestFit="1" customWidth="1"/>
    <col min="4868" max="4868" width="20.85546875" style="321" bestFit="1" customWidth="1"/>
    <col min="4869" max="4869" width="21.85546875" style="321" customWidth="1"/>
    <col min="4870" max="4871" width="19.85546875" style="321" customWidth="1"/>
    <col min="4872" max="4872" width="21" style="321" bestFit="1" customWidth="1"/>
    <col min="4873" max="4873" width="21.5703125" style="321" bestFit="1" customWidth="1"/>
    <col min="4874" max="4875" width="20.28515625" style="321" customWidth="1"/>
    <col min="4876" max="4876" width="16.85546875" style="321" customWidth="1"/>
    <col min="4877" max="4877" width="16.5703125" style="321" customWidth="1"/>
    <col min="4878" max="4878" width="20.5703125" style="321" customWidth="1"/>
    <col min="4879" max="4882" width="19.85546875" style="321" customWidth="1"/>
    <col min="4883" max="4886" width="9.140625" style="321" customWidth="1"/>
    <col min="4887" max="5119" width="9.140625" style="321"/>
    <col min="5120" max="5120" width="4.5703125" style="321" bestFit="1" customWidth="1"/>
    <col min="5121" max="5121" width="47.5703125" style="321" customWidth="1"/>
    <col min="5122" max="5122" width="20.140625" style="321" bestFit="1" customWidth="1"/>
    <col min="5123" max="5123" width="21.5703125" style="321" bestFit="1" customWidth="1"/>
    <col min="5124" max="5124" width="20.85546875" style="321" bestFit="1" customWidth="1"/>
    <col min="5125" max="5125" width="21.85546875" style="321" customWidth="1"/>
    <col min="5126" max="5127" width="19.85546875" style="321" customWidth="1"/>
    <col min="5128" max="5128" width="21" style="321" bestFit="1" customWidth="1"/>
    <col min="5129" max="5129" width="21.5703125" style="321" bestFit="1" customWidth="1"/>
    <col min="5130" max="5131" width="20.28515625" style="321" customWidth="1"/>
    <col min="5132" max="5132" width="16.85546875" style="321" customWidth="1"/>
    <col min="5133" max="5133" width="16.5703125" style="321" customWidth="1"/>
    <col min="5134" max="5134" width="20.5703125" style="321" customWidth="1"/>
    <col min="5135" max="5138" width="19.85546875" style="321" customWidth="1"/>
    <col min="5139" max="5142" width="9.140625" style="321" customWidth="1"/>
    <col min="5143" max="5375" width="9.140625" style="321"/>
    <col min="5376" max="5376" width="4.5703125" style="321" bestFit="1" customWidth="1"/>
    <col min="5377" max="5377" width="47.5703125" style="321" customWidth="1"/>
    <col min="5378" max="5378" width="20.140625" style="321" bestFit="1" customWidth="1"/>
    <col min="5379" max="5379" width="21.5703125" style="321" bestFit="1" customWidth="1"/>
    <col min="5380" max="5380" width="20.85546875" style="321" bestFit="1" customWidth="1"/>
    <col min="5381" max="5381" width="21.85546875" style="321" customWidth="1"/>
    <col min="5382" max="5383" width="19.85546875" style="321" customWidth="1"/>
    <col min="5384" max="5384" width="21" style="321" bestFit="1" customWidth="1"/>
    <col min="5385" max="5385" width="21.5703125" style="321" bestFit="1" customWidth="1"/>
    <col min="5386" max="5387" width="20.28515625" style="321" customWidth="1"/>
    <col min="5388" max="5388" width="16.85546875" style="321" customWidth="1"/>
    <col min="5389" max="5389" width="16.5703125" style="321" customWidth="1"/>
    <col min="5390" max="5390" width="20.5703125" style="321" customWidth="1"/>
    <col min="5391" max="5394" width="19.85546875" style="321" customWidth="1"/>
    <col min="5395" max="5398" width="9.140625" style="321" customWidth="1"/>
    <col min="5399" max="5631" width="9.140625" style="321"/>
    <col min="5632" max="5632" width="4.5703125" style="321" bestFit="1" customWidth="1"/>
    <col min="5633" max="5633" width="47.5703125" style="321" customWidth="1"/>
    <col min="5634" max="5634" width="20.140625" style="321" bestFit="1" customWidth="1"/>
    <col min="5635" max="5635" width="21.5703125" style="321" bestFit="1" customWidth="1"/>
    <col min="5636" max="5636" width="20.85546875" style="321" bestFit="1" customWidth="1"/>
    <col min="5637" max="5637" width="21.85546875" style="321" customWidth="1"/>
    <col min="5638" max="5639" width="19.85546875" style="321" customWidth="1"/>
    <col min="5640" max="5640" width="21" style="321" bestFit="1" customWidth="1"/>
    <col min="5641" max="5641" width="21.5703125" style="321" bestFit="1" customWidth="1"/>
    <col min="5642" max="5643" width="20.28515625" style="321" customWidth="1"/>
    <col min="5644" max="5644" width="16.85546875" style="321" customWidth="1"/>
    <col min="5645" max="5645" width="16.5703125" style="321" customWidth="1"/>
    <col min="5646" max="5646" width="20.5703125" style="321" customWidth="1"/>
    <col min="5647" max="5650" width="19.85546875" style="321" customWidth="1"/>
    <col min="5651" max="5654" width="9.140625" style="321" customWidth="1"/>
    <col min="5655" max="5887" width="9.140625" style="321"/>
    <col min="5888" max="5888" width="4.5703125" style="321" bestFit="1" customWidth="1"/>
    <col min="5889" max="5889" width="47.5703125" style="321" customWidth="1"/>
    <col min="5890" max="5890" width="20.140625" style="321" bestFit="1" customWidth="1"/>
    <col min="5891" max="5891" width="21.5703125" style="321" bestFit="1" customWidth="1"/>
    <col min="5892" max="5892" width="20.85546875" style="321" bestFit="1" customWidth="1"/>
    <col min="5893" max="5893" width="21.85546875" style="321" customWidth="1"/>
    <col min="5894" max="5895" width="19.85546875" style="321" customWidth="1"/>
    <col min="5896" max="5896" width="21" style="321" bestFit="1" customWidth="1"/>
    <col min="5897" max="5897" width="21.5703125" style="321" bestFit="1" customWidth="1"/>
    <col min="5898" max="5899" width="20.28515625" style="321" customWidth="1"/>
    <col min="5900" max="5900" width="16.85546875" style="321" customWidth="1"/>
    <col min="5901" max="5901" width="16.5703125" style="321" customWidth="1"/>
    <col min="5902" max="5902" width="20.5703125" style="321" customWidth="1"/>
    <col min="5903" max="5906" width="19.85546875" style="321" customWidth="1"/>
    <col min="5907" max="5910" width="9.140625" style="321" customWidth="1"/>
    <col min="5911" max="6143" width="9.140625" style="321"/>
    <col min="6144" max="6144" width="4.5703125" style="321" bestFit="1" customWidth="1"/>
    <col min="6145" max="6145" width="47.5703125" style="321" customWidth="1"/>
    <col min="6146" max="6146" width="20.140625" style="321" bestFit="1" customWidth="1"/>
    <col min="6147" max="6147" width="21.5703125" style="321" bestFit="1" customWidth="1"/>
    <col min="6148" max="6148" width="20.85546875" style="321" bestFit="1" customWidth="1"/>
    <col min="6149" max="6149" width="21.85546875" style="321" customWidth="1"/>
    <col min="6150" max="6151" width="19.85546875" style="321" customWidth="1"/>
    <col min="6152" max="6152" width="21" style="321" bestFit="1" customWidth="1"/>
    <col min="6153" max="6153" width="21.5703125" style="321" bestFit="1" customWidth="1"/>
    <col min="6154" max="6155" width="20.28515625" style="321" customWidth="1"/>
    <col min="6156" max="6156" width="16.85546875" style="321" customWidth="1"/>
    <col min="6157" max="6157" width="16.5703125" style="321" customWidth="1"/>
    <col min="6158" max="6158" width="20.5703125" style="321" customWidth="1"/>
    <col min="6159" max="6162" width="19.85546875" style="321" customWidth="1"/>
    <col min="6163" max="6166" width="9.140625" style="321" customWidth="1"/>
    <col min="6167" max="6399" width="9.140625" style="321"/>
    <col min="6400" max="6400" width="4.5703125" style="321" bestFit="1" customWidth="1"/>
    <col min="6401" max="6401" width="47.5703125" style="321" customWidth="1"/>
    <col min="6402" max="6402" width="20.140625" style="321" bestFit="1" customWidth="1"/>
    <col min="6403" max="6403" width="21.5703125" style="321" bestFit="1" customWidth="1"/>
    <col min="6404" max="6404" width="20.85546875" style="321" bestFit="1" customWidth="1"/>
    <col min="6405" max="6405" width="21.85546875" style="321" customWidth="1"/>
    <col min="6406" max="6407" width="19.85546875" style="321" customWidth="1"/>
    <col min="6408" max="6408" width="21" style="321" bestFit="1" customWidth="1"/>
    <col min="6409" max="6409" width="21.5703125" style="321" bestFit="1" customWidth="1"/>
    <col min="6410" max="6411" width="20.28515625" style="321" customWidth="1"/>
    <col min="6412" max="6412" width="16.85546875" style="321" customWidth="1"/>
    <col min="6413" max="6413" width="16.5703125" style="321" customWidth="1"/>
    <col min="6414" max="6414" width="20.5703125" style="321" customWidth="1"/>
    <col min="6415" max="6418" width="19.85546875" style="321" customWidth="1"/>
    <col min="6419" max="6422" width="9.140625" style="321" customWidth="1"/>
    <col min="6423" max="6655" width="9.140625" style="321"/>
    <col min="6656" max="6656" width="4.5703125" style="321" bestFit="1" customWidth="1"/>
    <col min="6657" max="6657" width="47.5703125" style="321" customWidth="1"/>
    <col min="6658" max="6658" width="20.140625" style="321" bestFit="1" customWidth="1"/>
    <col min="6659" max="6659" width="21.5703125" style="321" bestFit="1" customWidth="1"/>
    <col min="6660" max="6660" width="20.85546875" style="321" bestFit="1" customWidth="1"/>
    <col min="6661" max="6661" width="21.85546875" style="321" customWidth="1"/>
    <col min="6662" max="6663" width="19.85546875" style="321" customWidth="1"/>
    <col min="6664" max="6664" width="21" style="321" bestFit="1" customWidth="1"/>
    <col min="6665" max="6665" width="21.5703125" style="321" bestFit="1" customWidth="1"/>
    <col min="6666" max="6667" width="20.28515625" style="321" customWidth="1"/>
    <col min="6668" max="6668" width="16.85546875" style="321" customWidth="1"/>
    <col min="6669" max="6669" width="16.5703125" style="321" customWidth="1"/>
    <col min="6670" max="6670" width="20.5703125" style="321" customWidth="1"/>
    <col min="6671" max="6674" width="19.85546875" style="321" customWidth="1"/>
    <col min="6675" max="6678" width="9.140625" style="321" customWidth="1"/>
    <col min="6679" max="6911" width="9.140625" style="321"/>
    <col min="6912" max="6912" width="4.5703125" style="321" bestFit="1" customWidth="1"/>
    <col min="6913" max="6913" width="47.5703125" style="321" customWidth="1"/>
    <col min="6914" max="6914" width="20.140625" style="321" bestFit="1" customWidth="1"/>
    <col min="6915" max="6915" width="21.5703125" style="321" bestFit="1" customWidth="1"/>
    <col min="6916" max="6916" width="20.85546875" style="321" bestFit="1" customWidth="1"/>
    <col min="6917" max="6917" width="21.85546875" style="321" customWidth="1"/>
    <col min="6918" max="6919" width="19.85546875" style="321" customWidth="1"/>
    <col min="6920" max="6920" width="21" style="321" bestFit="1" customWidth="1"/>
    <col min="6921" max="6921" width="21.5703125" style="321" bestFit="1" customWidth="1"/>
    <col min="6922" max="6923" width="20.28515625" style="321" customWidth="1"/>
    <col min="6924" max="6924" width="16.85546875" style="321" customWidth="1"/>
    <col min="6925" max="6925" width="16.5703125" style="321" customWidth="1"/>
    <col min="6926" max="6926" width="20.5703125" style="321" customWidth="1"/>
    <col min="6927" max="6930" width="19.85546875" style="321" customWidth="1"/>
    <col min="6931" max="6934" width="9.140625" style="321" customWidth="1"/>
    <col min="6935" max="7167" width="9.140625" style="321"/>
    <col min="7168" max="7168" width="4.5703125" style="321" bestFit="1" customWidth="1"/>
    <col min="7169" max="7169" width="47.5703125" style="321" customWidth="1"/>
    <col min="7170" max="7170" width="20.140625" style="321" bestFit="1" customWidth="1"/>
    <col min="7171" max="7171" width="21.5703125" style="321" bestFit="1" customWidth="1"/>
    <col min="7172" max="7172" width="20.85546875" style="321" bestFit="1" customWidth="1"/>
    <col min="7173" max="7173" width="21.85546875" style="321" customWidth="1"/>
    <col min="7174" max="7175" width="19.85546875" style="321" customWidth="1"/>
    <col min="7176" max="7176" width="21" style="321" bestFit="1" customWidth="1"/>
    <col min="7177" max="7177" width="21.5703125" style="321" bestFit="1" customWidth="1"/>
    <col min="7178" max="7179" width="20.28515625" style="321" customWidth="1"/>
    <col min="7180" max="7180" width="16.85546875" style="321" customWidth="1"/>
    <col min="7181" max="7181" width="16.5703125" style="321" customWidth="1"/>
    <col min="7182" max="7182" width="20.5703125" style="321" customWidth="1"/>
    <col min="7183" max="7186" width="19.85546875" style="321" customWidth="1"/>
    <col min="7187" max="7190" width="9.140625" style="321" customWidth="1"/>
    <col min="7191" max="7423" width="9.140625" style="321"/>
    <col min="7424" max="7424" width="4.5703125" style="321" bestFit="1" customWidth="1"/>
    <col min="7425" max="7425" width="47.5703125" style="321" customWidth="1"/>
    <col min="7426" max="7426" width="20.140625" style="321" bestFit="1" customWidth="1"/>
    <col min="7427" max="7427" width="21.5703125" style="321" bestFit="1" customWidth="1"/>
    <col min="7428" max="7428" width="20.85546875" style="321" bestFit="1" customWidth="1"/>
    <col min="7429" max="7429" width="21.85546875" style="321" customWidth="1"/>
    <col min="7430" max="7431" width="19.85546875" style="321" customWidth="1"/>
    <col min="7432" max="7432" width="21" style="321" bestFit="1" customWidth="1"/>
    <col min="7433" max="7433" width="21.5703125" style="321" bestFit="1" customWidth="1"/>
    <col min="7434" max="7435" width="20.28515625" style="321" customWidth="1"/>
    <col min="7436" max="7436" width="16.85546875" style="321" customWidth="1"/>
    <col min="7437" max="7437" width="16.5703125" style="321" customWidth="1"/>
    <col min="7438" max="7438" width="20.5703125" style="321" customWidth="1"/>
    <col min="7439" max="7442" width="19.85546875" style="321" customWidth="1"/>
    <col min="7443" max="7446" width="9.140625" style="321" customWidth="1"/>
    <col min="7447" max="7679" width="9.140625" style="321"/>
    <col min="7680" max="7680" width="4.5703125" style="321" bestFit="1" customWidth="1"/>
    <col min="7681" max="7681" width="47.5703125" style="321" customWidth="1"/>
    <col min="7682" max="7682" width="20.140625" style="321" bestFit="1" customWidth="1"/>
    <col min="7683" max="7683" width="21.5703125" style="321" bestFit="1" customWidth="1"/>
    <col min="7684" max="7684" width="20.85546875" style="321" bestFit="1" customWidth="1"/>
    <col min="7685" max="7685" width="21.85546875" style="321" customWidth="1"/>
    <col min="7686" max="7687" width="19.85546875" style="321" customWidth="1"/>
    <col min="7688" max="7688" width="21" style="321" bestFit="1" customWidth="1"/>
    <col min="7689" max="7689" width="21.5703125" style="321" bestFit="1" customWidth="1"/>
    <col min="7690" max="7691" width="20.28515625" style="321" customWidth="1"/>
    <col min="7692" max="7692" width="16.85546875" style="321" customWidth="1"/>
    <col min="7693" max="7693" width="16.5703125" style="321" customWidth="1"/>
    <col min="7694" max="7694" width="20.5703125" style="321" customWidth="1"/>
    <col min="7695" max="7698" width="19.85546875" style="321" customWidth="1"/>
    <col min="7699" max="7702" width="9.140625" style="321" customWidth="1"/>
    <col min="7703" max="7935" width="9.140625" style="321"/>
    <col min="7936" max="7936" width="4.5703125" style="321" bestFit="1" customWidth="1"/>
    <col min="7937" max="7937" width="47.5703125" style="321" customWidth="1"/>
    <col min="7938" max="7938" width="20.140625" style="321" bestFit="1" customWidth="1"/>
    <col min="7939" max="7939" width="21.5703125" style="321" bestFit="1" customWidth="1"/>
    <col min="7940" max="7940" width="20.85546875" style="321" bestFit="1" customWidth="1"/>
    <col min="7941" max="7941" width="21.85546875" style="321" customWidth="1"/>
    <col min="7942" max="7943" width="19.85546875" style="321" customWidth="1"/>
    <col min="7944" max="7944" width="21" style="321" bestFit="1" customWidth="1"/>
    <col min="7945" max="7945" width="21.5703125" style="321" bestFit="1" customWidth="1"/>
    <col min="7946" max="7947" width="20.28515625" style="321" customWidth="1"/>
    <col min="7948" max="7948" width="16.85546875" style="321" customWidth="1"/>
    <col min="7949" max="7949" width="16.5703125" style="321" customWidth="1"/>
    <col min="7950" max="7950" width="20.5703125" style="321" customWidth="1"/>
    <col min="7951" max="7954" width="19.85546875" style="321" customWidth="1"/>
    <col min="7955" max="7958" width="9.140625" style="321" customWidth="1"/>
    <col min="7959" max="8191" width="9.140625" style="321"/>
    <col min="8192" max="8192" width="4.5703125" style="321" bestFit="1" customWidth="1"/>
    <col min="8193" max="8193" width="47.5703125" style="321" customWidth="1"/>
    <col min="8194" max="8194" width="20.140625" style="321" bestFit="1" customWidth="1"/>
    <col min="8195" max="8195" width="21.5703125" style="321" bestFit="1" customWidth="1"/>
    <col min="8196" max="8196" width="20.85546875" style="321" bestFit="1" customWidth="1"/>
    <col min="8197" max="8197" width="21.85546875" style="321" customWidth="1"/>
    <col min="8198" max="8199" width="19.85546875" style="321" customWidth="1"/>
    <col min="8200" max="8200" width="21" style="321" bestFit="1" customWidth="1"/>
    <col min="8201" max="8201" width="21.5703125" style="321" bestFit="1" customWidth="1"/>
    <col min="8202" max="8203" width="20.28515625" style="321" customWidth="1"/>
    <col min="8204" max="8204" width="16.85546875" style="321" customWidth="1"/>
    <col min="8205" max="8205" width="16.5703125" style="321" customWidth="1"/>
    <col min="8206" max="8206" width="20.5703125" style="321" customWidth="1"/>
    <col min="8207" max="8210" width="19.85546875" style="321" customWidth="1"/>
    <col min="8211" max="8214" width="9.140625" style="321" customWidth="1"/>
    <col min="8215" max="8447" width="9.140625" style="321"/>
    <col min="8448" max="8448" width="4.5703125" style="321" bestFit="1" customWidth="1"/>
    <col min="8449" max="8449" width="47.5703125" style="321" customWidth="1"/>
    <col min="8450" max="8450" width="20.140625" style="321" bestFit="1" customWidth="1"/>
    <col min="8451" max="8451" width="21.5703125" style="321" bestFit="1" customWidth="1"/>
    <col min="8452" max="8452" width="20.85546875" style="321" bestFit="1" customWidth="1"/>
    <col min="8453" max="8453" width="21.85546875" style="321" customWidth="1"/>
    <col min="8454" max="8455" width="19.85546875" style="321" customWidth="1"/>
    <col min="8456" max="8456" width="21" style="321" bestFit="1" customWidth="1"/>
    <col min="8457" max="8457" width="21.5703125" style="321" bestFit="1" customWidth="1"/>
    <col min="8458" max="8459" width="20.28515625" style="321" customWidth="1"/>
    <col min="8460" max="8460" width="16.85546875" style="321" customWidth="1"/>
    <col min="8461" max="8461" width="16.5703125" style="321" customWidth="1"/>
    <col min="8462" max="8462" width="20.5703125" style="321" customWidth="1"/>
    <col min="8463" max="8466" width="19.85546875" style="321" customWidth="1"/>
    <col min="8467" max="8470" width="9.140625" style="321" customWidth="1"/>
    <col min="8471" max="8703" width="9.140625" style="321"/>
    <col min="8704" max="8704" width="4.5703125" style="321" bestFit="1" customWidth="1"/>
    <col min="8705" max="8705" width="47.5703125" style="321" customWidth="1"/>
    <col min="8706" max="8706" width="20.140625" style="321" bestFit="1" customWidth="1"/>
    <col min="8707" max="8707" width="21.5703125" style="321" bestFit="1" customWidth="1"/>
    <col min="8708" max="8708" width="20.85546875" style="321" bestFit="1" customWidth="1"/>
    <col min="8709" max="8709" width="21.85546875" style="321" customWidth="1"/>
    <col min="8710" max="8711" width="19.85546875" style="321" customWidth="1"/>
    <col min="8712" max="8712" width="21" style="321" bestFit="1" customWidth="1"/>
    <col min="8713" max="8713" width="21.5703125" style="321" bestFit="1" customWidth="1"/>
    <col min="8714" max="8715" width="20.28515625" style="321" customWidth="1"/>
    <col min="8716" max="8716" width="16.85546875" style="321" customWidth="1"/>
    <col min="8717" max="8717" width="16.5703125" style="321" customWidth="1"/>
    <col min="8718" max="8718" width="20.5703125" style="321" customWidth="1"/>
    <col min="8719" max="8722" width="19.85546875" style="321" customWidth="1"/>
    <col min="8723" max="8726" width="9.140625" style="321" customWidth="1"/>
    <col min="8727" max="8959" width="9.140625" style="321"/>
    <col min="8960" max="8960" width="4.5703125" style="321" bestFit="1" customWidth="1"/>
    <col min="8961" max="8961" width="47.5703125" style="321" customWidth="1"/>
    <col min="8962" max="8962" width="20.140625" style="321" bestFit="1" customWidth="1"/>
    <col min="8963" max="8963" width="21.5703125" style="321" bestFit="1" customWidth="1"/>
    <col min="8964" max="8964" width="20.85546875" style="321" bestFit="1" customWidth="1"/>
    <col min="8965" max="8965" width="21.85546875" style="321" customWidth="1"/>
    <col min="8966" max="8967" width="19.85546875" style="321" customWidth="1"/>
    <col min="8968" max="8968" width="21" style="321" bestFit="1" customWidth="1"/>
    <col min="8969" max="8969" width="21.5703125" style="321" bestFit="1" customWidth="1"/>
    <col min="8970" max="8971" width="20.28515625" style="321" customWidth="1"/>
    <col min="8972" max="8972" width="16.85546875" style="321" customWidth="1"/>
    <col min="8973" max="8973" width="16.5703125" style="321" customWidth="1"/>
    <col min="8974" max="8974" width="20.5703125" style="321" customWidth="1"/>
    <col min="8975" max="8978" width="19.85546875" style="321" customWidth="1"/>
    <col min="8979" max="8982" width="9.140625" style="321" customWidth="1"/>
    <col min="8983" max="9215" width="9.140625" style="321"/>
    <col min="9216" max="9216" width="4.5703125" style="321" bestFit="1" customWidth="1"/>
    <col min="9217" max="9217" width="47.5703125" style="321" customWidth="1"/>
    <col min="9218" max="9218" width="20.140625" style="321" bestFit="1" customWidth="1"/>
    <col min="9219" max="9219" width="21.5703125" style="321" bestFit="1" customWidth="1"/>
    <col min="9220" max="9220" width="20.85546875" style="321" bestFit="1" customWidth="1"/>
    <col min="9221" max="9221" width="21.85546875" style="321" customWidth="1"/>
    <col min="9222" max="9223" width="19.85546875" style="321" customWidth="1"/>
    <col min="9224" max="9224" width="21" style="321" bestFit="1" customWidth="1"/>
    <col min="9225" max="9225" width="21.5703125" style="321" bestFit="1" customWidth="1"/>
    <col min="9226" max="9227" width="20.28515625" style="321" customWidth="1"/>
    <col min="9228" max="9228" width="16.85546875" style="321" customWidth="1"/>
    <col min="9229" max="9229" width="16.5703125" style="321" customWidth="1"/>
    <col min="9230" max="9230" width="20.5703125" style="321" customWidth="1"/>
    <col min="9231" max="9234" width="19.85546875" style="321" customWidth="1"/>
    <col min="9235" max="9238" width="9.140625" style="321" customWidth="1"/>
    <col min="9239" max="9471" width="9.140625" style="321"/>
    <col min="9472" max="9472" width="4.5703125" style="321" bestFit="1" customWidth="1"/>
    <col min="9473" max="9473" width="47.5703125" style="321" customWidth="1"/>
    <col min="9474" max="9474" width="20.140625" style="321" bestFit="1" customWidth="1"/>
    <col min="9475" max="9475" width="21.5703125" style="321" bestFit="1" customWidth="1"/>
    <col min="9476" max="9476" width="20.85546875" style="321" bestFit="1" customWidth="1"/>
    <col min="9477" max="9477" width="21.85546875" style="321" customWidth="1"/>
    <col min="9478" max="9479" width="19.85546875" style="321" customWidth="1"/>
    <col min="9480" max="9480" width="21" style="321" bestFit="1" customWidth="1"/>
    <col min="9481" max="9481" width="21.5703125" style="321" bestFit="1" customWidth="1"/>
    <col min="9482" max="9483" width="20.28515625" style="321" customWidth="1"/>
    <col min="9484" max="9484" width="16.85546875" style="321" customWidth="1"/>
    <col min="9485" max="9485" width="16.5703125" style="321" customWidth="1"/>
    <col min="9486" max="9486" width="20.5703125" style="321" customWidth="1"/>
    <col min="9487" max="9490" width="19.85546875" style="321" customWidth="1"/>
    <col min="9491" max="9494" width="9.140625" style="321" customWidth="1"/>
    <col min="9495" max="9727" width="9.140625" style="321"/>
    <col min="9728" max="9728" width="4.5703125" style="321" bestFit="1" customWidth="1"/>
    <col min="9729" max="9729" width="47.5703125" style="321" customWidth="1"/>
    <col min="9730" max="9730" width="20.140625" style="321" bestFit="1" customWidth="1"/>
    <col min="9731" max="9731" width="21.5703125" style="321" bestFit="1" customWidth="1"/>
    <col min="9732" max="9732" width="20.85546875" style="321" bestFit="1" customWidth="1"/>
    <col min="9733" max="9733" width="21.85546875" style="321" customWidth="1"/>
    <col min="9734" max="9735" width="19.85546875" style="321" customWidth="1"/>
    <col min="9736" max="9736" width="21" style="321" bestFit="1" customWidth="1"/>
    <col min="9737" max="9737" width="21.5703125" style="321" bestFit="1" customWidth="1"/>
    <col min="9738" max="9739" width="20.28515625" style="321" customWidth="1"/>
    <col min="9740" max="9740" width="16.85546875" style="321" customWidth="1"/>
    <col min="9741" max="9741" width="16.5703125" style="321" customWidth="1"/>
    <col min="9742" max="9742" width="20.5703125" style="321" customWidth="1"/>
    <col min="9743" max="9746" width="19.85546875" style="321" customWidth="1"/>
    <col min="9747" max="9750" width="9.140625" style="321" customWidth="1"/>
    <col min="9751" max="9983" width="9.140625" style="321"/>
    <col min="9984" max="9984" width="4.5703125" style="321" bestFit="1" customWidth="1"/>
    <col min="9985" max="9985" width="47.5703125" style="321" customWidth="1"/>
    <col min="9986" max="9986" width="20.140625" style="321" bestFit="1" customWidth="1"/>
    <col min="9987" max="9987" width="21.5703125" style="321" bestFit="1" customWidth="1"/>
    <col min="9988" max="9988" width="20.85546875" style="321" bestFit="1" customWidth="1"/>
    <col min="9989" max="9989" width="21.85546875" style="321" customWidth="1"/>
    <col min="9990" max="9991" width="19.85546875" style="321" customWidth="1"/>
    <col min="9992" max="9992" width="21" style="321" bestFit="1" customWidth="1"/>
    <col min="9993" max="9993" width="21.5703125" style="321" bestFit="1" customWidth="1"/>
    <col min="9994" max="9995" width="20.28515625" style="321" customWidth="1"/>
    <col min="9996" max="9996" width="16.85546875" style="321" customWidth="1"/>
    <col min="9997" max="9997" width="16.5703125" style="321" customWidth="1"/>
    <col min="9998" max="9998" width="20.5703125" style="321" customWidth="1"/>
    <col min="9999" max="10002" width="19.85546875" style="321" customWidth="1"/>
    <col min="10003" max="10006" width="9.140625" style="321" customWidth="1"/>
    <col min="10007" max="10239" width="9.140625" style="321"/>
    <col min="10240" max="10240" width="4.5703125" style="321" bestFit="1" customWidth="1"/>
    <col min="10241" max="10241" width="47.5703125" style="321" customWidth="1"/>
    <col min="10242" max="10242" width="20.140625" style="321" bestFit="1" customWidth="1"/>
    <col min="10243" max="10243" width="21.5703125" style="321" bestFit="1" customWidth="1"/>
    <col min="10244" max="10244" width="20.85546875" style="321" bestFit="1" customWidth="1"/>
    <col min="10245" max="10245" width="21.85546875" style="321" customWidth="1"/>
    <col min="10246" max="10247" width="19.85546875" style="321" customWidth="1"/>
    <col min="10248" max="10248" width="21" style="321" bestFit="1" customWidth="1"/>
    <col min="10249" max="10249" width="21.5703125" style="321" bestFit="1" customWidth="1"/>
    <col min="10250" max="10251" width="20.28515625" style="321" customWidth="1"/>
    <col min="10252" max="10252" width="16.85546875" style="321" customWidth="1"/>
    <col min="10253" max="10253" width="16.5703125" style="321" customWidth="1"/>
    <col min="10254" max="10254" width="20.5703125" style="321" customWidth="1"/>
    <col min="10255" max="10258" width="19.85546875" style="321" customWidth="1"/>
    <col min="10259" max="10262" width="9.140625" style="321" customWidth="1"/>
    <col min="10263" max="10495" width="9.140625" style="321"/>
    <col min="10496" max="10496" width="4.5703125" style="321" bestFit="1" customWidth="1"/>
    <col min="10497" max="10497" width="47.5703125" style="321" customWidth="1"/>
    <col min="10498" max="10498" width="20.140625" style="321" bestFit="1" customWidth="1"/>
    <col min="10499" max="10499" width="21.5703125" style="321" bestFit="1" customWidth="1"/>
    <col min="10500" max="10500" width="20.85546875" style="321" bestFit="1" customWidth="1"/>
    <col min="10501" max="10501" width="21.85546875" style="321" customWidth="1"/>
    <col min="10502" max="10503" width="19.85546875" style="321" customWidth="1"/>
    <col min="10504" max="10504" width="21" style="321" bestFit="1" customWidth="1"/>
    <col min="10505" max="10505" width="21.5703125" style="321" bestFit="1" customWidth="1"/>
    <col min="10506" max="10507" width="20.28515625" style="321" customWidth="1"/>
    <col min="10508" max="10508" width="16.85546875" style="321" customWidth="1"/>
    <col min="10509" max="10509" width="16.5703125" style="321" customWidth="1"/>
    <col min="10510" max="10510" width="20.5703125" style="321" customWidth="1"/>
    <col min="10511" max="10514" width="19.85546875" style="321" customWidth="1"/>
    <col min="10515" max="10518" width="9.140625" style="321" customWidth="1"/>
    <col min="10519" max="10751" width="9.140625" style="321"/>
    <col min="10752" max="10752" width="4.5703125" style="321" bestFit="1" customWidth="1"/>
    <col min="10753" max="10753" width="47.5703125" style="321" customWidth="1"/>
    <col min="10754" max="10754" width="20.140625" style="321" bestFit="1" customWidth="1"/>
    <col min="10755" max="10755" width="21.5703125" style="321" bestFit="1" customWidth="1"/>
    <col min="10756" max="10756" width="20.85546875" style="321" bestFit="1" customWidth="1"/>
    <col min="10757" max="10757" width="21.85546875" style="321" customWidth="1"/>
    <col min="10758" max="10759" width="19.85546875" style="321" customWidth="1"/>
    <col min="10760" max="10760" width="21" style="321" bestFit="1" customWidth="1"/>
    <col min="10761" max="10761" width="21.5703125" style="321" bestFit="1" customWidth="1"/>
    <col min="10762" max="10763" width="20.28515625" style="321" customWidth="1"/>
    <col min="10764" max="10764" width="16.85546875" style="321" customWidth="1"/>
    <col min="10765" max="10765" width="16.5703125" style="321" customWidth="1"/>
    <col min="10766" max="10766" width="20.5703125" style="321" customWidth="1"/>
    <col min="10767" max="10770" width="19.85546875" style="321" customWidth="1"/>
    <col min="10771" max="10774" width="9.140625" style="321" customWidth="1"/>
    <col min="10775" max="11007" width="9.140625" style="321"/>
    <col min="11008" max="11008" width="4.5703125" style="321" bestFit="1" customWidth="1"/>
    <col min="11009" max="11009" width="47.5703125" style="321" customWidth="1"/>
    <col min="11010" max="11010" width="20.140625" style="321" bestFit="1" customWidth="1"/>
    <col min="11011" max="11011" width="21.5703125" style="321" bestFit="1" customWidth="1"/>
    <col min="11012" max="11012" width="20.85546875" style="321" bestFit="1" customWidth="1"/>
    <col min="11013" max="11013" width="21.85546875" style="321" customWidth="1"/>
    <col min="11014" max="11015" width="19.85546875" style="321" customWidth="1"/>
    <col min="11016" max="11016" width="21" style="321" bestFit="1" customWidth="1"/>
    <col min="11017" max="11017" width="21.5703125" style="321" bestFit="1" customWidth="1"/>
    <col min="11018" max="11019" width="20.28515625" style="321" customWidth="1"/>
    <col min="11020" max="11020" width="16.85546875" style="321" customWidth="1"/>
    <col min="11021" max="11021" width="16.5703125" style="321" customWidth="1"/>
    <col min="11022" max="11022" width="20.5703125" style="321" customWidth="1"/>
    <col min="11023" max="11026" width="19.85546875" style="321" customWidth="1"/>
    <col min="11027" max="11030" width="9.140625" style="321" customWidth="1"/>
    <col min="11031" max="11263" width="9.140625" style="321"/>
    <col min="11264" max="11264" width="4.5703125" style="321" bestFit="1" customWidth="1"/>
    <col min="11265" max="11265" width="47.5703125" style="321" customWidth="1"/>
    <col min="11266" max="11266" width="20.140625" style="321" bestFit="1" customWidth="1"/>
    <col min="11267" max="11267" width="21.5703125" style="321" bestFit="1" customWidth="1"/>
    <col min="11268" max="11268" width="20.85546875" style="321" bestFit="1" customWidth="1"/>
    <col min="11269" max="11269" width="21.85546875" style="321" customWidth="1"/>
    <col min="11270" max="11271" width="19.85546875" style="321" customWidth="1"/>
    <col min="11272" max="11272" width="21" style="321" bestFit="1" customWidth="1"/>
    <col min="11273" max="11273" width="21.5703125" style="321" bestFit="1" customWidth="1"/>
    <col min="11274" max="11275" width="20.28515625" style="321" customWidth="1"/>
    <col min="11276" max="11276" width="16.85546875" style="321" customWidth="1"/>
    <col min="11277" max="11277" width="16.5703125" style="321" customWidth="1"/>
    <col min="11278" max="11278" width="20.5703125" style="321" customWidth="1"/>
    <col min="11279" max="11282" width="19.85546875" style="321" customWidth="1"/>
    <col min="11283" max="11286" width="9.140625" style="321" customWidth="1"/>
    <col min="11287" max="11519" width="9.140625" style="321"/>
    <col min="11520" max="11520" width="4.5703125" style="321" bestFit="1" customWidth="1"/>
    <col min="11521" max="11521" width="47.5703125" style="321" customWidth="1"/>
    <col min="11522" max="11522" width="20.140625" style="321" bestFit="1" customWidth="1"/>
    <col min="11523" max="11523" width="21.5703125" style="321" bestFit="1" customWidth="1"/>
    <col min="11524" max="11524" width="20.85546875" style="321" bestFit="1" customWidth="1"/>
    <col min="11525" max="11525" width="21.85546875" style="321" customWidth="1"/>
    <col min="11526" max="11527" width="19.85546875" style="321" customWidth="1"/>
    <col min="11528" max="11528" width="21" style="321" bestFit="1" customWidth="1"/>
    <col min="11529" max="11529" width="21.5703125" style="321" bestFit="1" customWidth="1"/>
    <col min="11530" max="11531" width="20.28515625" style="321" customWidth="1"/>
    <col min="11532" max="11532" width="16.85546875" style="321" customWidth="1"/>
    <col min="11533" max="11533" width="16.5703125" style="321" customWidth="1"/>
    <col min="11534" max="11534" width="20.5703125" style="321" customWidth="1"/>
    <col min="11535" max="11538" width="19.85546875" style="321" customWidth="1"/>
    <col min="11539" max="11542" width="9.140625" style="321" customWidth="1"/>
    <col min="11543" max="11775" width="9.140625" style="321"/>
    <col min="11776" max="11776" width="4.5703125" style="321" bestFit="1" customWidth="1"/>
    <col min="11777" max="11777" width="47.5703125" style="321" customWidth="1"/>
    <col min="11778" max="11778" width="20.140625" style="321" bestFit="1" customWidth="1"/>
    <col min="11779" max="11779" width="21.5703125" style="321" bestFit="1" customWidth="1"/>
    <col min="11780" max="11780" width="20.85546875" style="321" bestFit="1" customWidth="1"/>
    <col min="11781" max="11781" width="21.85546875" style="321" customWidth="1"/>
    <col min="11782" max="11783" width="19.85546875" style="321" customWidth="1"/>
    <col min="11784" max="11784" width="21" style="321" bestFit="1" customWidth="1"/>
    <col min="11785" max="11785" width="21.5703125" style="321" bestFit="1" customWidth="1"/>
    <col min="11786" max="11787" width="20.28515625" style="321" customWidth="1"/>
    <col min="11788" max="11788" width="16.85546875" style="321" customWidth="1"/>
    <col min="11789" max="11789" width="16.5703125" style="321" customWidth="1"/>
    <col min="11790" max="11790" width="20.5703125" style="321" customWidth="1"/>
    <col min="11791" max="11794" width="19.85546875" style="321" customWidth="1"/>
    <col min="11795" max="11798" width="9.140625" style="321" customWidth="1"/>
    <col min="11799" max="12031" width="9.140625" style="321"/>
    <col min="12032" max="12032" width="4.5703125" style="321" bestFit="1" customWidth="1"/>
    <col min="12033" max="12033" width="47.5703125" style="321" customWidth="1"/>
    <col min="12034" max="12034" width="20.140625" style="321" bestFit="1" customWidth="1"/>
    <col min="12035" max="12035" width="21.5703125" style="321" bestFit="1" customWidth="1"/>
    <col min="12036" max="12036" width="20.85546875" style="321" bestFit="1" customWidth="1"/>
    <col min="12037" max="12037" width="21.85546875" style="321" customWidth="1"/>
    <col min="12038" max="12039" width="19.85546875" style="321" customWidth="1"/>
    <col min="12040" max="12040" width="21" style="321" bestFit="1" customWidth="1"/>
    <col min="12041" max="12041" width="21.5703125" style="321" bestFit="1" customWidth="1"/>
    <col min="12042" max="12043" width="20.28515625" style="321" customWidth="1"/>
    <col min="12044" max="12044" width="16.85546875" style="321" customWidth="1"/>
    <col min="12045" max="12045" width="16.5703125" style="321" customWidth="1"/>
    <col min="12046" max="12046" width="20.5703125" style="321" customWidth="1"/>
    <col min="12047" max="12050" width="19.85546875" style="321" customWidth="1"/>
    <col min="12051" max="12054" width="9.140625" style="321" customWidth="1"/>
    <col min="12055" max="12287" width="9.140625" style="321"/>
    <col min="12288" max="12288" width="4.5703125" style="321" bestFit="1" customWidth="1"/>
    <col min="12289" max="12289" width="47.5703125" style="321" customWidth="1"/>
    <col min="12290" max="12290" width="20.140625" style="321" bestFit="1" customWidth="1"/>
    <col min="12291" max="12291" width="21.5703125" style="321" bestFit="1" customWidth="1"/>
    <col min="12292" max="12292" width="20.85546875" style="321" bestFit="1" customWidth="1"/>
    <col min="12293" max="12293" width="21.85546875" style="321" customWidth="1"/>
    <col min="12294" max="12295" width="19.85546875" style="321" customWidth="1"/>
    <col min="12296" max="12296" width="21" style="321" bestFit="1" customWidth="1"/>
    <col min="12297" max="12297" width="21.5703125" style="321" bestFit="1" customWidth="1"/>
    <col min="12298" max="12299" width="20.28515625" style="321" customWidth="1"/>
    <col min="12300" max="12300" width="16.85546875" style="321" customWidth="1"/>
    <col min="12301" max="12301" width="16.5703125" style="321" customWidth="1"/>
    <col min="12302" max="12302" width="20.5703125" style="321" customWidth="1"/>
    <col min="12303" max="12306" width="19.85546875" style="321" customWidth="1"/>
    <col min="12307" max="12310" width="9.140625" style="321" customWidth="1"/>
    <col min="12311" max="12543" width="9.140625" style="321"/>
    <col min="12544" max="12544" width="4.5703125" style="321" bestFit="1" customWidth="1"/>
    <col min="12545" max="12545" width="47.5703125" style="321" customWidth="1"/>
    <col min="12546" max="12546" width="20.140625" style="321" bestFit="1" customWidth="1"/>
    <col min="12547" max="12547" width="21.5703125" style="321" bestFit="1" customWidth="1"/>
    <col min="12548" max="12548" width="20.85546875" style="321" bestFit="1" customWidth="1"/>
    <col min="12549" max="12549" width="21.85546875" style="321" customWidth="1"/>
    <col min="12550" max="12551" width="19.85546875" style="321" customWidth="1"/>
    <col min="12552" max="12552" width="21" style="321" bestFit="1" customWidth="1"/>
    <col min="12553" max="12553" width="21.5703125" style="321" bestFit="1" customWidth="1"/>
    <col min="12554" max="12555" width="20.28515625" style="321" customWidth="1"/>
    <col min="12556" max="12556" width="16.85546875" style="321" customWidth="1"/>
    <col min="12557" max="12557" width="16.5703125" style="321" customWidth="1"/>
    <col min="12558" max="12558" width="20.5703125" style="321" customWidth="1"/>
    <col min="12559" max="12562" width="19.85546875" style="321" customWidth="1"/>
    <col min="12563" max="12566" width="9.140625" style="321" customWidth="1"/>
    <col min="12567" max="12799" width="9.140625" style="321"/>
    <col min="12800" max="12800" width="4.5703125" style="321" bestFit="1" customWidth="1"/>
    <col min="12801" max="12801" width="47.5703125" style="321" customWidth="1"/>
    <col min="12802" max="12802" width="20.140625" style="321" bestFit="1" customWidth="1"/>
    <col min="12803" max="12803" width="21.5703125" style="321" bestFit="1" customWidth="1"/>
    <col min="12804" max="12804" width="20.85546875" style="321" bestFit="1" customWidth="1"/>
    <col min="12805" max="12805" width="21.85546875" style="321" customWidth="1"/>
    <col min="12806" max="12807" width="19.85546875" style="321" customWidth="1"/>
    <col min="12808" max="12808" width="21" style="321" bestFit="1" customWidth="1"/>
    <col min="12809" max="12809" width="21.5703125" style="321" bestFit="1" customWidth="1"/>
    <col min="12810" max="12811" width="20.28515625" style="321" customWidth="1"/>
    <col min="12812" max="12812" width="16.85546875" style="321" customWidth="1"/>
    <col min="12813" max="12813" width="16.5703125" style="321" customWidth="1"/>
    <col min="12814" max="12814" width="20.5703125" style="321" customWidth="1"/>
    <col min="12815" max="12818" width="19.85546875" style="321" customWidth="1"/>
    <col min="12819" max="12822" width="9.140625" style="321" customWidth="1"/>
    <col min="12823" max="13055" width="9.140625" style="321"/>
    <col min="13056" max="13056" width="4.5703125" style="321" bestFit="1" customWidth="1"/>
    <col min="13057" max="13057" width="47.5703125" style="321" customWidth="1"/>
    <col min="13058" max="13058" width="20.140625" style="321" bestFit="1" customWidth="1"/>
    <col min="13059" max="13059" width="21.5703125" style="321" bestFit="1" customWidth="1"/>
    <col min="13060" max="13060" width="20.85546875" style="321" bestFit="1" customWidth="1"/>
    <col min="13061" max="13061" width="21.85546875" style="321" customWidth="1"/>
    <col min="13062" max="13063" width="19.85546875" style="321" customWidth="1"/>
    <col min="13064" max="13064" width="21" style="321" bestFit="1" customWidth="1"/>
    <col min="13065" max="13065" width="21.5703125" style="321" bestFit="1" customWidth="1"/>
    <col min="13066" max="13067" width="20.28515625" style="321" customWidth="1"/>
    <col min="13068" max="13068" width="16.85546875" style="321" customWidth="1"/>
    <col min="13069" max="13069" width="16.5703125" style="321" customWidth="1"/>
    <col min="13070" max="13070" width="20.5703125" style="321" customWidth="1"/>
    <col min="13071" max="13074" width="19.85546875" style="321" customWidth="1"/>
    <col min="13075" max="13078" width="9.140625" style="321" customWidth="1"/>
    <col min="13079" max="13311" width="9.140625" style="321"/>
    <col min="13312" max="13312" width="4.5703125" style="321" bestFit="1" customWidth="1"/>
    <col min="13313" max="13313" width="47.5703125" style="321" customWidth="1"/>
    <col min="13314" max="13314" width="20.140625" style="321" bestFit="1" customWidth="1"/>
    <col min="13315" max="13315" width="21.5703125" style="321" bestFit="1" customWidth="1"/>
    <col min="13316" max="13316" width="20.85546875" style="321" bestFit="1" customWidth="1"/>
    <col min="13317" max="13317" width="21.85546875" style="321" customWidth="1"/>
    <col min="13318" max="13319" width="19.85546875" style="321" customWidth="1"/>
    <col min="13320" max="13320" width="21" style="321" bestFit="1" customWidth="1"/>
    <col min="13321" max="13321" width="21.5703125" style="321" bestFit="1" customWidth="1"/>
    <col min="13322" max="13323" width="20.28515625" style="321" customWidth="1"/>
    <col min="13324" max="13324" width="16.85546875" style="321" customWidth="1"/>
    <col min="13325" max="13325" width="16.5703125" style="321" customWidth="1"/>
    <col min="13326" max="13326" width="20.5703125" style="321" customWidth="1"/>
    <col min="13327" max="13330" width="19.85546875" style="321" customWidth="1"/>
    <col min="13331" max="13334" width="9.140625" style="321" customWidth="1"/>
    <col min="13335" max="13567" width="9.140625" style="321"/>
    <col min="13568" max="13568" width="4.5703125" style="321" bestFit="1" customWidth="1"/>
    <col min="13569" max="13569" width="47.5703125" style="321" customWidth="1"/>
    <col min="13570" max="13570" width="20.140625" style="321" bestFit="1" customWidth="1"/>
    <col min="13571" max="13571" width="21.5703125" style="321" bestFit="1" customWidth="1"/>
    <col min="13572" max="13572" width="20.85546875" style="321" bestFit="1" customWidth="1"/>
    <col min="13573" max="13573" width="21.85546875" style="321" customWidth="1"/>
    <col min="13574" max="13575" width="19.85546875" style="321" customWidth="1"/>
    <col min="13576" max="13576" width="21" style="321" bestFit="1" customWidth="1"/>
    <col min="13577" max="13577" width="21.5703125" style="321" bestFit="1" customWidth="1"/>
    <col min="13578" max="13579" width="20.28515625" style="321" customWidth="1"/>
    <col min="13580" max="13580" width="16.85546875" style="321" customWidth="1"/>
    <col min="13581" max="13581" width="16.5703125" style="321" customWidth="1"/>
    <col min="13582" max="13582" width="20.5703125" style="321" customWidth="1"/>
    <col min="13583" max="13586" width="19.85546875" style="321" customWidth="1"/>
    <col min="13587" max="13590" width="9.140625" style="321" customWidth="1"/>
    <col min="13591" max="13823" width="9.140625" style="321"/>
    <col min="13824" max="13824" width="4.5703125" style="321" bestFit="1" customWidth="1"/>
    <col min="13825" max="13825" width="47.5703125" style="321" customWidth="1"/>
    <col min="13826" max="13826" width="20.140625" style="321" bestFit="1" customWidth="1"/>
    <col min="13827" max="13827" width="21.5703125" style="321" bestFit="1" customWidth="1"/>
    <col min="13828" max="13828" width="20.85546875" style="321" bestFit="1" customWidth="1"/>
    <col min="13829" max="13829" width="21.85546875" style="321" customWidth="1"/>
    <col min="13830" max="13831" width="19.85546875" style="321" customWidth="1"/>
    <col min="13832" max="13832" width="21" style="321" bestFit="1" customWidth="1"/>
    <col min="13833" max="13833" width="21.5703125" style="321" bestFit="1" customWidth="1"/>
    <col min="13834" max="13835" width="20.28515625" style="321" customWidth="1"/>
    <col min="13836" max="13836" width="16.85546875" style="321" customWidth="1"/>
    <col min="13837" max="13837" width="16.5703125" style="321" customWidth="1"/>
    <col min="13838" max="13838" width="20.5703125" style="321" customWidth="1"/>
    <col min="13839" max="13842" width="19.85546875" style="321" customWidth="1"/>
    <col min="13843" max="13846" width="9.140625" style="321" customWidth="1"/>
    <col min="13847" max="14079" width="9.140625" style="321"/>
    <col min="14080" max="14080" width="4.5703125" style="321" bestFit="1" customWidth="1"/>
    <col min="14081" max="14081" width="47.5703125" style="321" customWidth="1"/>
    <col min="14082" max="14082" width="20.140625" style="321" bestFit="1" customWidth="1"/>
    <col min="14083" max="14083" width="21.5703125" style="321" bestFit="1" customWidth="1"/>
    <col min="14084" max="14084" width="20.85546875" style="321" bestFit="1" customWidth="1"/>
    <col min="14085" max="14085" width="21.85546875" style="321" customWidth="1"/>
    <col min="14086" max="14087" width="19.85546875" style="321" customWidth="1"/>
    <col min="14088" max="14088" width="21" style="321" bestFit="1" customWidth="1"/>
    <col min="14089" max="14089" width="21.5703125" style="321" bestFit="1" customWidth="1"/>
    <col min="14090" max="14091" width="20.28515625" style="321" customWidth="1"/>
    <col min="14092" max="14092" width="16.85546875" style="321" customWidth="1"/>
    <col min="14093" max="14093" width="16.5703125" style="321" customWidth="1"/>
    <col min="14094" max="14094" width="20.5703125" style="321" customWidth="1"/>
    <col min="14095" max="14098" width="19.85546875" style="321" customWidth="1"/>
    <col min="14099" max="14102" width="9.140625" style="321" customWidth="1"/>
    <col min="14103" max="14335" width="9.140625" style="321"/>
    <col min="14336" max="14336" width="4.5703125" style="321" bestFit="1" customWidth="1"/>
    <col min="14337" max="14337" width="47.5703125" style="321" customWidth="1"/>
    <col min="14338" max="14338" width="20.140625" style="321" bestFit="1" customWidth="1"/>
    <col min="14339" max="14339" width="21.5703125" style="321" bestFit="1" customWidth="1"/>
    <col min="14340" max="14340" width="20.85546875" style="321" bestFit="1" customWidth="1"/>
    <col min="14341" max="14341" width="21.85546875" style="321" customWidth="1"/>
    <col min="14342" max="14343" width="19.85546875" style="321" customWidth="1"/>
    <col min="14344" max="14344" width="21" style="321" bestFit="1" customWidth="1"/>
    <col min="14345" max="14345" width="21.5703125" style="321" bestFit="1" customWidth="1"/>
    <col min="14346" max="14347" width="20.28515625" style="321" customWidth="1"/>
    <col min="14348" max="14348" width="16.85546875" style="321" customWidth="1"/>
    <col min="14349" max="14349" width="16.5703125" style="321" customWidth="1"/>
    <col min="14350" max="14350" width="20.5703125" style="321" customWidth="1"/>
    <col min="14351" max="14354" width="19.85546875" style="321" customWidth="1"/>
    <col min="14355" max="14358" width="9.140625" style="321" customWidth="1"/>
    <col min="14359" max="14591" width="9.140625" style="321"/>
    <col min="14592" max="14592" width="4.5703125" style="321" bestFit="1" customWidth="1"/>
    <col min="14593" max="14593" width="47.5703125" style="321" customWidth="1"/>
    <col min="14594" max="14594" width="20.140625" style="321" bestFit="1" customWidth="1"/>
    <col min="14595" max="14595" width="21.5703125" style="321" bestFit="1" customWidth="1"/>
    <col min="14596" max="14596" width="20.85546875" style="321" bestFit="1" customWidth="1"/>
    <col min="14597" max="14597" width="21.85546875" style="321" customWidth="1"/>
    <col min="14598" max="14599" width="19.85546875" style="321" customWidth="1"/>
    <col min="14600" max="14600" width="21" style="321" bestFit="1" customWidth="1"/>
    <col min="14601" max="14601" width="21.5703125" style="321" bestFit="1" customWidth="1"/>
    <col min="14602" max="14603" width="20.28515625" style="321" customWidth="1"/>
    <col min="14604" max="14604" width="16.85546875" style="321" customWidth="1"/>
    <col min="14605" max="14605" width="16.5703125" style="321" customWidth="1"/>
    <col min="14606" max="14606" width="20.5703125" style="321" customWidth="1"/>
    <col min="14607" max="14610" width="19.85546875" style="321" customWidth="1"/>
    <col min="14611" max="14614" width="9.140625" style="321" customWidth="1"/>
    <col min="14615" max="14847" width="9.140625" style="321"/>
    <col min="14848" max="14848" width="4.5703125" style="321" bestFit="1" customWidth="1"/>
    <col min="14849" max="14849" width="47.5703125" style="321" customWidth="1"/>
    <col min="14850" max="14850" width="20.140625" style="321" bestFit="1" customWidth="1"/>
    <col min="14851" max="14851" width="21.5703125" style="321" bestFit="1" customWidth="1"/>
    <col min="14852" max="14852" width="20.85546875" style="321" bestFit="1" customWidth="1"/>
    <col min="14853" max="14853" width="21.85546875" style="321" customWidth="1"/>
    <col min="14854" max="14855" width="19.85546875" style="321" customWidth="1"/>
    <col min="14856" max="14856" width="21" style="321" bestFit="1" customWidth="1"/>
    <col min="14857" max="14857" width="21.5703125" style="321" bestFit="1" customWidth="1"/>
    <col min="14858" max="14859" width="20.28515625" style="321" customWidth="1"/>
    <col min="14860" max="14860" width="16.85546875" style="321" customWidth="1"/>
    <col min="14861" max="14861" width="16.5703125" style="321" customWidth="1"/>
    <col min="14862" max="14862" width="20.5703125" style="321" customWidth="1"/>
    <col min="14863" max="14866" width="19.85546875" style="321" customWidth="1"/>
    <col min="14867" max="14870" width="9.140625" style="321" customWidth="1"/>
    <col min="14871" max="15103" width="9.140625" style="321"/>
    <col min="15104" max="15104" width="4.5703125" style="321" bestFit="1" customWidth="1"/>
    <col min="15105" max="15105" width="47.5703125" style="321" customWidth="1"/>
    <col min="15106" max="15106" width="20.140625" style="321" bestFit="1" customWidth="1"/>
    <col min="15107" max="15107" width="21.5703125" style="321" bestFit="1" customWidth="1"/>
    <col min="15108" max="15108" width="20.85546875" style="321" bestFit="1" customWidth="1"/>
    <col min="15109" max="15109" width="21.85546875" style="321" customWidth="1"/>
    <col min="15110" max="15111" width="19.85546875" style="321" customWidth="1"/>
    <col min="15112" max="15112" width="21" style="321" bestFit="1" customWidth="1"/>
    <col min="15113" max="15113" width="21.5703125" style="321" bestFit="1" customWidth="1"/>
    <col min="15114" max="15115" width="20.28515625" style="321" customWidth="1"/>
    <col min="15116" max="15116" width="16.85546875" style="321" customWidth="1"/>
    <col min="15117" max="15117" width="16.5703125" style="321" customWidth="1"/>
    <col min="15118" max="15118" width="20.5703125" style="321" customWidth="1"/>
    <col min="15119" max="15122" width="19.85546875" style="321" customWidth="1"/>
    <col min="15123" max="15126" width="9.140625" style="321" customWidth="1"/>
    <col min="15127" max="15359" width="9.140625" style="321"/>
    <col min="15360" max="15360" width="4.5703125" style="321" bestFit="1" customWidth="1"/>
    <col min="15361" max="15361" width="47.5703125" style="321" customWidth="1"/>
    <col min="15362" max="15362" width="20.140625" style="321" bestFit="1" customWidth="1"/>
    <col min="15363" max="15363" width="21.5703125" style="321" bestFit="1" customWidth="1"/>
    <col min="15364" max="15364" width="20.85546875" style="321" bestFit="1" customWidth="1"/>
    <col min="15365" max="15365" width="21.85546875" style="321" customWidth="1"/>
    <col min="15366" max="15367" width="19.85546875" style="321" customWidth="1"/>
    <col min="15368" max="15368" width="21" style="321" bestFit="1" customWidth="1"/>
    <col min="15369" max="15369" width="21.5703125" style="321" bestFit="1" customWidth="1"/>
    <col min="15370" max="15371" width="20.28515625" style="321" customWidth="1"/>
    <col min="15372" max="15372" width="16.85546875" style="321" customWidth="1"/>
    <col min="15373" max="15373" width="16.5703125" style="321" customWidth="1"/>
    <col min="15374" max="15374" width="20.5703125" style="321" customWidth="1"/>
    <col min="15375" max="15378" width="19.85546875" style="321" customWidth="1"/>
    <col min="15379" max="15382" width="9.140625" style="321" customWidth="1"/>
    <col min="15383" max="15615" width="9.140625" style="321"/>
    <col min="15616" max="15616" width="4.5703125" style="321" bestFit="1" customWidth="1"/>
    <col min="15617" max="15617" width="47.5703125" style="321" customWidth="1"/>
    <col min="15618" max="15618" width="20.140625" style="321" bestFit="1" customWidth="1"/>
    <col min="15619" max="15619" width="21.5703125" style="321" bestFit="1" customWidth="1"/>
    <col min="15620" max="15620" width="20.85546875" style="321" bestFit="1" customWidth="1"/>
    <col min="15621" max="15621" width="21.85546875" style="321" customWidth="1"/>
    <col min="15622" max="15623" width="19.85546875" style="321" customWidth="1"/>
    <col min="15624" max="15624" width="21" style="321" bestFit="1" customWidth="1"/>
    <col min="15625" max="15625" width="21.5703125" style="321" bestFit="1" customWidth="1"/>
    <col min="15626" max="15627" width="20.28515625" style="321" customWidth="1"/>
    <col min="15628" max="15628" width="16.85546875" style="321" customWidth="1"/>
    <col min="15629" max="15629" width="16.5703125" style="321" customWidth="1"/>
    <col min="15630" max="15630" width="20.5703125" style="321" customWidth="1"/>
    <col min="15631" max="15634" width="19.85546875" style="321" customWidth="1"/>
    <col min="15635" max="15638" width="9.140625" style="321" customWidth="1"/>
    <col min="15639" max="15871" width="9.140625" style="321"/>
    <col min="15872" max="15872" width="4.5703125" style="321" bestFit="1" customWidth="1"/>
    <col min="15873" max="15873" width="47.5703125" style="321" customWidth="1"/>
    <col min="15874" max="15874" width="20.140625" style="321" bestFit="1" customWidth="1"/>
    <col min="15875" max="15875" width="21.5703125" style="321" bestFit="1" customWidth="1"/>
    <col min="15876" max="15876" width="20.85546875" style="321" bestFit="1" customWidth="1"/>
    <col min="15877" max="15877" width="21.85546875" style="321" customWidth="1"/>
    <col min="15878" max="15879" width="19.85546875" style="321" customWidth="1"/>
    <col min="15880" max="15880" width="21" style="321" bestFit="1" customWidth="1"/>
    <col min="15881" max="15881" width="21.5703125" style="321" bestFit="1" customWidth="1"/>
    <col min="15882" max="15883" width="20.28515625" style="321" customWidth="1"/>
    <col min="15884" max="15884" width="16.85546875" style="321" customWidth="1"/>
    <col min="15885" max="15885" width="16.5703125" style="321" customWidth="1"/>
    <col min="15886" max="15886" width="20.5703125" style="321" customWidth="1"/>
    <col min="15887" max="15890" width="19.85546875" style="321" customWidth="1"/>
    <col min="15891" max="15894" width="9.140625" style="321" customWidth="1"/>
    <col min="15895" max="16127" width="9.140625" style="321"/>
    <col min="16128" max="16128" width="4.5703125" style="321" bestFit="1" customWidth="1"/>
    <col min="16129" max="16129" width="47.5703125" style="321" customWidth="1"/>
    <col min="16130" max="16130" width="20.140625" style="321" bestFit="1" customWidth="1"/>
    <col min="16131" max="16131" width="21.5703125" style="321" bestFit="1" customWidth="1"/>
    <col min="16132" max="16132" width="20.85546875" style="321" bestFit="1" customWidth="1"/>
    <col min="16133" max="16133" width="21.85546875" style="321" customWidth="1"/>
    <col min="16134" max="16135" width="19.85546875" style="321" customWidth="1"/>
    <col min="16136" max="16136" width="21" style="321" bestFit="1" customWidth="1"/>
    <col min="16137" max="16137" width="21.5703125" style="321" bestFit="1" customWidth="1"/>
    <col min="16138" max="16139" width="20.28515625" style="321" customWidth="1"/>
    <col min="16140" max="16140" width="16.85546875" style="321" customWidth="1"/>
    <col min="16141" max="16141" width="16.5703125" style="321" customWidth="1"/>
    <col min="16142" max="16142" width="20.5703125" style="321" customWidth="1"/>
    <col min="16143" max="16146" width="19.85546875" style="321" customWidth="1"/>
    <col min="16147" max="16150" width="9.140625" style="321" customWidth="1"/>
    <col min="16151" max="16384" width="9.140625" style="321"/>
  </cols>
  <sheetData>
    <row r="1" spans="1:23" ht="22.5" customHeight="1">
      <c r="A1" s="345" t="s">
        <v>275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3">
      <c r="J2" s="324"/>
    </row>
    <row r="3" spans="1:23" s="332" customFormat="1" ht="141.75">
      <c r="A3" s="328"/>
      <c r="B3" s="329"/>
      <c r="C3" s="328" t="s">
        <v>276</v>
      </c>
      <c r="D3" s="328" t="s">
        <v>255</v>
      </c>
      <c r="E3" s="328" t="s">
        <v>256</v>
      </c>
      <c r="F3" s="328" t="s">
        <v>257</v>
      </c>
      <c r="G3" s="328" t="s">
        <v>258</v>
      </c>
      <c r="H3" s="328" t="s">
        <v>259</v>
      </c>
      <c r="I3" s="328" t="s">
        <v>260</v>
      </c>
      <c r="J3" s="328" t="s">
        <v>261</v>
      </c>
      <c r="K3" s="330" t="s">
        <v>262</v>
      </c>
      <c r="L3" s="330" t="s">
        <v>263</v>
      </c>
      <c r="M3" s="328" t="s">
        <v>264</v>
      </c>
      <c r="N3" s="328" t="s">
        <v>205</v>
      </c>
      <c r="O3" s="328" t="s">
        <v>206</v>
      </c>
      <c r="P3" s="328" t="s">
        <v>189</v>
      </c>
      <c r="Q3" s="328" t="s">
        <v>164</v>
      </c>
      <c r="R3" s="328" t="s">
        <v>192</v>
      </c>
      <c r="S3" s="328" t="s">
        <v>265</v>
      </c>
      <c r="T3" s="328" t="s">
        <v>266</v>
      </c>
      <c r="U3" s="328" t="s">
        <v>281</v>
      </c>
      <c r="V3" s="328" t="s">
        <v>278</v>
      </c>
      <c r="W3" s="331" t="s">
        <v>279</v>
      </c>
    </row>
    <row r="4" spans="1:23" s="334" customFormat="1" ht="15.75">
      <c r="A4" s="333">
        <v>1</v>
      </c>
      <c r="B4" s="333">
        <v>2</v>
      </c>
      <c r="C4" s="333">
        <v>3</v>
      </c>
      <c r="D4" s="333">
        <v>4</v>
      </c>
      <c r="E4" s="333">
        <v>5</v>
      </c>
      <c r="F4" s="333">
        <v>6</v>
      </c>
      <c r="G4" s="333">
        <v>7</v>
      </c>
      <c r="H4" s="333">
        <v>8</v>
      </c>
      <c r="I4" s="333">
        <v>9</v>
      </c>
      <c r="J4" s="333">
        <v>10</v>
      </c>
      <c r="K4" s="333">
        <v>11</v>
      </c>
      <c r="L4" s="333">
        <v>12</v>
      </c>
      <c r="M4" s="333">
        <v>13</v>
      </c>
      <c r="N4" s="333">
        <v>14</v>
      </c>
      <c r="O4" s="333">
        <v>15</v>
      </c>
      <c r="P4" s="333">
        <v>16</v>
      </c>
      <c r="Q4" s="333">
        <v>17</v>
      </c>
      <c r="R4" s="333">
        <v>18</v>
      </c>
      <c r="S4" s="333">
        <v>19</v>
      </c>
      <c r="T4" s="333">
        <v>20</v>
      </c>
      <c r="U4" s="333">
        <v>21</v>
      </c>
      <c r="V4" s="333">
        <v>22</v>
      </c>
      <c r="W4" s="333">
        <v>23</v>
      </c>
    </row>
    <row r="5" spans="1:23" s="337" customFormat="1" ht="27">
      <c r="A5" s="335"/>
      <c r="B5" s="335"/>
      <c r="C5" s="335"/>
      <c r="D5" s="335" t="s">
        <v>267</v>
      </c>
      <c r="E5" s="335"/>
      <c r="F5" s="335"/>
      <c r="G5" s="335"/>
      <c r="H5" s="335"/>
      <c r="I5" s="335"/>
      <c r="J5" s="335" t="s">
        <v>268</v>
      </c>
      <c r="K5" s="335"/>
      <c r="L5" s="335"/>
      <c r="M5" s="335" t="s">
        <v>269</v>
      </c>
      <c r="N5" s="335" t="s">
        <v>280</v>
      </c>
      <c r="O5" s="335" t="s">
        <v>280</v>
      </c>
      <c r="P5" s="335" t="s">
        <v>280</v>
      </c>
      <c r="Q5" s="335"/>
      <c r="R5" s="335"/>
      <c r="S5" s="335" t="s">
        <v>277</v>
      </c>
      <c r="T5" s="335"/>
      <c r="U5" s="335"/>
      <c r="V5" s="335"/>
      <c r="W5" s="336"/>
    </row>
    <row r="6" spans="1:23" s="341" customFormat="1" ht="20.25">
      <c r="A6" s="338" t="s">
        <v>270</v>
      </c>
      <c r="B6" s="339"/>
      <c r="C6" s="340">
        <f t="shared" ref="C6:W6" si="0">SUBTOTAL(9,C7:C61)</f>
        <v>23884353</v>
      </c>
      <c r="D6" s="340">
        <f t="shared" si="0"/>
        <v>85496500.041500002</v>
      </c>
      <c r="E6" s="340">
        <f t="shared" si="0"/>
        <v>70656607.041500002</v>
      </c>
      <c r="F6" s="340">
        <f t="shared" si="0"/>
        <v>14839893</v>
      </c>
      <c r="G6" s="340">
        <f t="shared" si="0"/>
        <v>-2620000</v>
      </c>
      <c r="H6" s="340">
        <f t="shared" si="0"/>
        <v>24239856.918950003</v>
      </c>
      <c r="I6" s="340">
        <f t="shared" si="0"/>
        <v>13201031</v>
      </c>
      <c r="J6" s="340">
        <f t="shared" si="0"/>
        <v>37440887.918949999</v>
      </c>
      <c r="K6" s="340">
        <f t="shared" si="0"/>
        <v>-19311965.490112502</v>
      </c>
      <c r="L6" s="340">
        <f t="shared" si="0"/>
        <v>-472794</v>
      </c>
      <c r="M6" s="340">
        <f t="shared" si="0"/>
        <v>-19784759.490112502</v>
      </c>
      <c r="N6" s="340">
        <f t="shared" si="0"/>
        <v>9457209.4234523047</v>
      </c>
      <c r="O6" s="340">
        <f t="shared" si="0"/>
        <v>1717399.7755957691</v>
      </c>
      <c r="P6" s="340">
        <f t="shared" si="0"/>
        <v>8610150</v>
      </c>
      <c r="Q6" s="340">
        <f t="shared" si="0"/>
        <v>0</v>
      </c>
      <c r="R6" s="340">
        <f t="shared" si="0"/>
        <v>0</v>
      </c>
      <c r="S6" s="340">
        <f t="shared" si="0"/>
        <v>19784759.199048076</v>
      </c>
      <c r="T6" s="340">
        <f t="shared" si="0"/>
        <v>330987</v>
      </c>
      <c r="U6" s="340">
        <f t="shared" si="0"/>
        <v>138533117.92909205</v>
      </c>
      <c r="V6" s="340">
        <f t="shared" si="0"/>
        <v>5999609.7402935699</v>
      </c>
      <c r="W6" s="340">
        <f t="shared" si="0"/>
        <v>-17884743.25970643</v>
      </c>
    </row>
    <row r="7" spans="1:23" s="322" customFormat="1">
      <c r="A7" s="342" t="s">
        <v>234</v>
      </c>
      <c r="B7" s="342"/>
      <c r="C7" s="343">
        <f>SUBTOTAL(9,C8:C23)</f>
        <v>0</v>
      </c>
      <c r="D7" s="343">
        <f t="shared" ref="D7:W7" si="1">SUBTOTAL(9,D8:D23)</f>
        <v>67042057.310177505</v>
      </c>
      <c r="E7" s="343">
        <f t="shared" si="1"/>
        <v>66240057.310177505</v>
      </c>
      <c r="F7" s="343">
        <f t="shared" si="1"/>
        <v>802000</v>
      </c>
      <c r="G7" s="343">
        <f t="shared" si="1"/>
        <v>-2160000</v>
      </c>
      <c r="H7" s="343">
        <f t="shared" si="1"/>
        <v>24196409.479605943</v>
      </c>
      <c r="I7" s="343">
        <f t="shared" si="1"/>
        <v>1276440</v>
      </c>
      <c r="J7" s="343">
        <f t="shared" si="1"/>
        <v>25472849.479605943</v>
      </c>
      <c r="K7" s="343">
        <f t="shared" si="1"/>
        <v>-19276888.947445866</v>
      </c>
      <c r="L7" s="343">
        <f t="shared" si="1"/>
        <v>-172594</v>
      </c>
      <c r="M7" s="343">
        <f t="shared" si="1"/>
        <v>-19449482.947445866</v>
      </c>
      <c r="N7" s="343">
        <f t="shared" si="1"/>
        <v>9457209.4234523047</v>
      </c>
      <c r="O7" s="343">
        <f t="shared" si="1"/>
        <v>1717399.7755957691</v>
      </c>
      <c r="P7" s="343">
        <f t="shared" si="1"/>
        <v>0</v>
      </c>
      <c r="Q7" s="343">
        <f t="shared" si="1"/>
        <v>-999999.99999999988</v>
      </c>
      <c r="R7" s="343">
        <f t="shared" si="1"/>
        <v>-314553.32323487732</v>
      </c>
      <c r="S7" s="343">
        <f t="shared" si="1"/>
        <v>9860055.8758131973</v>
      </c>
      <c r="T7" s="343">
        <f t="shared" si="1"/>
        <v>0</v>
      </c>
      <c r="U7" s="343">
        <f t="shared" si="1"/>
        <v>84783306.183592021</v>
      </c>
      <c r="V7" s="343">
        <f t="shared" si="1"/>
        <v>-4017826.4654412214</v>
      </c>
      <c r="W7" s="343">
        <f t="shared" si="1"/>
        <v>-4017826.4654412214</v>
      </c>
    </row>
    <row r="8" spans="1:23">
      <c r="B8" s="322" t="s">
        <v>128</v>
      </c>
      <c r="D8" s="323">
        <f t="shared" ref="D8:D23" si="2">SUM(E8:F8)</f>
        <v>764823.62174998154</v>
      </c>
      <c r="E8" s="321">
        <v>734823.62174998154</v>
      </c>
      <c r="F8" s="321">
        <v>30000</v>
      </c>
      <c r="H8" s="321">
        <v>147962.10233491508</v>
      </c>
      <c r="I8" s="321">
        <v>27480</v>
      </c>
      <c r="J8" s="323">
        <f>SUM(H8:I8)</f>
        <v>175442.10233491508</v>
      </c>
      <c r="K8" s="321">
        <v>-161182.43102122413</v>
      </c>
      <c r="L8" s="321">
        <v>-3240</v>
      </c>
      <c r="M8" s="323">
        <f>SUM(K8:L8)</f>
        <v>-164422.43102122413</v>
      </c>
      <c r="N8" s="325">
        <v>164422.43102122413</v>
      </c>
      <c r="O8" s="325">
        <v>104336.95017362965</v>
      </c>
      <c r="Q8" s="326">
        <v>-4591.8367346938776</v>
      </c>
      <c r="R8" s="326">
        <v>-1923.5073303538961</v>
      </c>
      <c r="S8" s="327">
        <f>SUM(N8:R8)</f>
        <v>262244.03712980601</v>
      </c>
      <c r="U8" s="321">
        <v>1489407.5671039999</v>
      </c>
      <c r="V8" s="321">
        <f t="shared" ref="V8:V23" si="3">C8+D8+J8+M8+S8+T8-U8+G8</f>
        <v>-451320.2369105214</v>
      </c>
      <c r="W8" s="321">
        <f t="shared" ref="W8:W23" si="4">D8+G8+J8+M8+S8+T8-U8</f>
        <v>-451320.2369105214</v>
      </c>
    </row>
    <row r="9" spans="1:23">
      <c r="B9" s="322" t="s">
        <v>101</v>
      </c>
      <c r="D9" s="323">
        <f t="shared" si="2"/>
        <v>4812022.7460221043</v>
      </c>
      <c r="E9" s="321">
        <v>4762022.7460221043</v>
      </c>
      <c r="F9" s="321">
        <v>50000</v>
      </c>
      <c r="H9" s="321">
        <v>1007627.5773056454</v>
      </c>
      <c r="I9" s="321">
        <v>102150</v>
      </c>
      <c r="J9" s="323">
        <f t="shared" ref="J9:J61" si="5">SUM(H9:I9)</f>
        <v>1109777.5773056454</v>
      </c>
      <c r="K9" s="321">
        <v>-1183407.5808319375</v>
      </c>
      <c r="L9" s="321">
        <v>-13754</v>
      </c>
      <c r="M9" s="323">
        <f t="shared" ref="M9:M61" si="6">SUM(K9:L9)</f>
        <v>-1197161.5808319375</v>
      </c>
      <c r="N9" s="325">
        <v>1109736.5808319375</v>
      </c>
      <c r="Q9" s="326">
        <v>-63492.063492063491</v>
      </c>
      <c r="R9" s="326">
        <v>-13099.158504973391</v>
      </c>
      <c r="S9" s="327">
        <f t="shared" ref="S9:S61" si="7">SUM(N9:R9)</f>
        <v>1033145.3588349007</v>
      </c>
      <c r="U9" s="321">
        <v>5757784.4697280005</v>
      </c>
      <c r="V9" s="321">
        <f t="shared" si="3"/>
        <v>-0.36839728709310293</v>
      </c>
      <c r="W9" s="321">
        <f t="shared" si="4"/>
        <v>-0.36839728709310293</v>
      </c>
    </row>
    <row r="10" spans="1:23">
      <c r="B10" s="322" t="s">
        <v>129</v>
      </c>
      <c r="D10" s="323">
        <f t="shared" si="2"/>
        <v>2478195.7992721507</v>
      </c>
      <c r="E10" s="321">
        <v>2378195.7992721507</v>
      </c>
      <c r="F10" s="321">
        <v>100000</v>
      </c>
      <c r="H10" s="321">
        <v>570946.23261921515</v>
      </c>
      <c r="I10" s="321">
        <v>119430</v>
      </c>
      <c r="J10" s="323">
        <f t="shared" si="5"/>
        <v>690376.23261921515</v>
      </c>
      <c r="K10" s="321">
        <v>-562919.50797284138</v>
      </c>
      <c r="L10" s="321">
        <v>-10038</v>
      </c>
      <c r="M10" s="323">
        <f t="shared" si="6"/>
        <v>-572957.50797284138</v>
      </c>
      <c r="N10" s="325">
        <v>572957.50797284138</v>
      </c>
      <c r="O10" s="325">
        <v>225399.20013944042</v>
      </c>
      <c r="Q10" s="326">
        <v>-35147.392290249431</v>
      </c>
      <c r="R10" s="326">
        <v>-7422.3010240497979</v>
      </c>
      <c r="S10" s="327">
        <f t="shared" si="7"/>
        <v>755787.01479798253</v>
      </c>
      <c r="U10" s="321">
        <v>4343815.1905199997</v>
      </c>
      <c r="V10" s="321">
        <f t="shared" si="3"/>
        <v>-992413.65180349257</v>
      </c>
      <c r="W10" s="321">
        <f t="shared" si="4"/>
        <v>-992413.65180349257</v>
      </c>
    </row>
    <row r="11" spans="1:23">
      <c r="B11" s="322" t="s">
        <v>130</v>
      </c>
      <c r="D11" s="323">
        <f t="shared" si="2"/>
        <v>2282717.6296431953</v>
      </c>
      <c r="E11" s="321">
        <v>2252717.6296431953</v>
      </c>
      <c r="F11" s="321">
        <v>30000</v>
      </c>
      <c r="H11" s="321">
        <v>423299.44277098746</v>
      </c>
      <c r="I11" s="321">
        <v>61510</v>
      </c>
      <c r="J11" s="323">
        <f t="shared" si="5"/>
        <v>484809.44277098746</v>
      </c>
      <c r="K11" s="321">
        <v>-502450.26810354571</v>
      </c>
      <c r="L11" s="321">
        <v>-10490</v>
      </c>
      <c r="M11" s="323">
        <f t="shared" si="6"/>
        <v>-512940.26810354571</v>
      </c>
      <c r="N11" s="325">
        <v>512940.26810354571</v>
      </c>
      <c r="O11" s="325">
        <v>221492.6595319453</v>
      </c>
      <c r="Q11" s="326">
        <v>-36904.761904761901</v>
      </c>
      <c r="R11" s="326">
        <v>-5502.8927560228376</v>
      </c>
      <c r="S11" s="327">
        <f t="shared" si="7"/>
        <v>692025.27297470625</v>
      </c>
      <c r="U11" s="321">
        <v>3933277.912056</v>
      </c>
      <c r="V11" s="321">
        <f t="shared" si="3"/>
        <v>-986665.83477065666</v>
      </c>
      <c r="W11" s="321">
        <f t="shared" si="4"/>
        <v>-986665.83477065666</v>
      </c>
    </row>
    <row r="12" spans="1:23">
      <c r="B12" s="322" t="s">
        <v>131</v>
      </c>
      <c r="D12" s="323">
        <f t="shared" si="2"/>
        <v>5440141.2337237932</v>
      </c>
      <c r="E12" s="321">
        <v>5370141.2337237932</v>
      </c>
      <c r="F12" s="321">
        <v>70000</v>
      </c>
      <c r="G12" s="323">
        <v>-2160000</v>
      </c>
      <c r="H12" s="321">
        <v>4581490.9472063426</v>
      </c>
      <c r="I12" s="321">
        <v>47100</v>
      </c>
      <c r="J12" s="323">
        <f t="shared" si="5"/>
        <v>4628590.9472063426</v>
      </c>
      <c r="K12" s="321">
        <v>-2304044.0452325344</v>
      </c>
      <c r="L12" s="321">
        <v>-7720</v>
      </c>
      <c r="M12" s="323">
        <f t="shared" si="6"/>
        <v>-2311764.0452325344</v>
      </c>
      <c r="Q12" s="326">
        <v>-56122.448979591834</v>
      </c>
      <c r="R12" s="326">
        <v>-59559.382313682458</v>
      </c>
      <c r="S12" s="327">
        <f t="shared" si="7"/>
        <v>-115681.8312932743</v>
      </c>
      <c r="U12" s="321">
        <v>3625107.579496</v>
      </c>
      <c r="V12" s="321">
        <f t="shared" si="3"/>
        <v>1856178.7249083268</v>
      </c>
      <c r="W12" s="321">
        <f t="shared" si="4"/>
        <v>1856178.7249083268</v>
      </c>
    </row>
    <row r="13" spans="1:23">
      <c r="B13" s="322" t="s">
        <v>132</v>
      </c>
      <c r="D13" s="323">
        <f t="shared" si="2"/>
        <v>1568505.5057895719</v>
      </c>
      <c r="E13" s="321">
        <v>1518505.5057895719</v>
      </c>
      <c r="F13" s="321">
        <v>50000</v>
      </c>
      <c r="H13" s="321">
        <v>1553919.9701648515</v>
      </c>
      <c r="I13" s="321">
        <v>58790</v>
      </c>
      <c r="J13" s="323">
        <f t="shared" si="5"/>
        <v>1612709.9701648515</v>
      </c>
      <c r="K13" s="321">
        <v>-654088.3689886058</v>
      </c>
      <c r="L13" s="321">
        <v>-10582</v>
      </c>
      <c r="M13" s="323">
        <f t="shared" si="6"/>
        <v>-664670.3689886058</v>
      </c>
      <c r="Q13" s="326">
        <v>-40759.637188208617</v>
      </c>
      <c r="R13" s="326">
        <v>-20200.959612143073</v>
      </c>
      <c r="S13" s="327">
        <f t="shared" si="7"/>
        <v>-60960.59680035169</v>
      </c>
      <c r="U13" s="321">
        <v>3187053.6595439999</v>
      </c>
      <c r="V13" s="321">
        <f t="shared" si="3"/>
        <v>-731469.14937853348</v>
      </c>
      <c r="W13" s="321">
        <f t="shared" si="4"/>
        <v>-731469.14937853348</v>
      </c>
    </row>
    <row r="14" spans="1:23">
      <c r="B14" s="322" t="s">
        <v>100</v>
      </c>
      <c r="D14" s="323">
        <f t="shared" si="2"/>
        <v>1808349.4119359986</v>
      </c>
      <c r="E14" s="321">
        <v>1748349.4119359986</v>
      </c>
      <c r="F14" s="321">
        <v>60000</v>
      </c>
      <c r="H14" s="321">
        <v>783579.05683899298</v>
      </c>
      <c r="I14" s="321">
        <v>55610</v>
      </c>
      <c r="J14" s="323">
        <f t="shared" si="5"/>
        <v>839189.05683899298</v>
      </c>
      <c r="K14" s="321">
        <v>-542502.11719374789</v>
      </c>
      <c r="L14" s="321">
        <v>-9782</v>
      </c>
      <c r="M14" s="323">
        <f t="shared" si="6"/>
        <v>-552284.11719374789</v>
      </c>
      <c r="N14" s="325">
        <v>552284.11719374789</v>
      </c>
      <c r="Q14" s="326">
        <v>-52380.952380952382</v>
      </c>
      <c r="R14" s="326">
        <v>-10186.527738906909</v>
      </c>
      <c r="S14" s="327">
        <f t="shared" si="7"/>
        <v>489716.63707388862</v>
      </c>
      <c r="U14" s="321">
        <v>2618193.16</v>
      </c>
      <c r="V14" s="321">
        <f t="shared" si="3"/>
        <v>-33222.171344867907</v>
      </c>
      <c r="W14" s="321">
        <f t="shared" si="4"/>
        <v>-33222.171344867907</v>
      </c>
    </row>
    <row r="15" spans="1:23">
      <c r="B15" s="322" t="s">
        <v>102</v>
      </c>
      <c r="D15" s="323">
        <f t="shared" si="2"/>
        <v>3475476.1583023528</v>
      </c>
      <c r="E15" s="321">
        <v>3445476.1583023528</v>
      </c>
      <c r="F15" s="321">
        <v>30000</v>
      </c>
      <c r="H15" s="321">
        <v>340379.63722140115</v>
      </c>
      <c r="I15" s="321">
        <v>26920</v>
      </c>
      <c r="J15" s="323">
        <f t="shared" si="5"/>
        <v>367299.63722140115</v>
      </c>
      <c r="K15" s="321">
        <v>-682951.44888093858</v>
      </c>
      <c r="L15" s="321">
        <v>-4028</v>
      </c>
      <c r="M15" s="323">
        <f t="shared" si="6"/>
        <v>-686979.44888093858</v>
      </c>
      <c r="N15" s="325">
        <v>686979.44888093858</v>
      </c>
      <c r="O15" s="325">
        <v>347092.12120104663</v>
      </c>
      <c r="Q15" s="326">
        <v>-21031.746031746032</v>
      </c>
      <c r="R15" s="326">
        <v>-4424.9352838782152</v>
      </c>
      <c r="S15" s="327">
        <f t="shared" si="7"/>
        <v>1008614.8887663609</v>
      </c>
      <c r="U15" s="321">
        <v>5669576.4334239997</v>
      </c>
      <c r="V15" s="321">
        <f t="shared" si="3"/>
        <v>-1505165.1980148233</v>
      </c>
      <c r="W15" s="321">
        <f t="shared" si="4"/>
        <v>-1505165.1980148233</v>
      </c>
    </row>
    <row r="16" spans="1:23">
      <c r="B16" s="322" t="s">
        <v>97</v>
      </c>
      <c r="D16" s="323">
        <f t="shared" si="2"/>
        <v>6373041.7630142923</v>
      </c>
      <c r="E16" s="321">
        <v>6333041.7630142923</v>
      </c>
      <c r="F16" s="321">
        <v>40000</v>
      </c>
      <c r="H16" s="321">
        <v>1667014.287699691</v>
      </c>
      <c r="I16" s="321">
        <v>100080</v>
      </c>
      <c r="J16" s="323">
        <f t="shared" si="5"/>
        <v>1767094.287699691</v>
      </c>
      <c r="K16" s="321">
        <v>-1561338.7626784958</v>
      </c>
      <c r="L16" s="321">
        <v>-12748</v>
      </c>
      <c r="M16" s="323">
        <f t="shared" si="6"/>
        <v>-1574086.7626784958</v>
      </c>
      <c r="N16" s="325">
        <v>1574086.7626784958</v>
      </c>
      <c r="O16" s="325">
        <v>214674.17255938301</v>
      </c>
      <c r="Q16" s="326">
        <v>-96598.639455782308</v>
      </c>
      <c r="R16" s="326">
        <v>-21671.185740095982</v>
      </c>
      <c r="S16" s="327">
        <f t="shared" si="7"/>
        <v>1670491.1100420007</v>
      </c>
      <c r="U16" s="321">
        <v>9270000.1168159992</v>
      </c>
      <c r="V16" s="321">
        <f t="shared" si="3"/>
        <v>-1033459.7187385112</v>
      </c>
      <c r="W16" s="321">
        <f t="shared" si="4"/>
        <v>-1033459.7187385112</v>
      </c>
    </row>
    <row r="17" spans="1:25">
      <c r="B17" s="322" t="s">
        <v>104</v>
      </c>
      <c r="D17" s="323">
        <f t="shared" si="2"/>
        <v>13558971.249442676</v>
      </c>
      <c r="E17" s="321">
        <v>13488971.249442676</v>
      </c>
      <c r="F17" s="321">
        <v>70000</v>
      </c>
      <c r="H17" s="321">
        <v>2079928.0798629066</v>
      </c>
      <c r="I17" s="321">
        <v>131290</v>
      </c>
      <c r="J17" s="323">
        <f t="shared" si="5"/>
        <v>2211218.0798629066</v>
      </c>
      <c r="K17" s="321">
        <v>-3602511.8323263968</v>
      </c>
      <c r="L17" s="321">
        <v>-15032</v>
      </c>
      <c r="M17" s="323">
        <f t="shared" si="6"/>
        <v>-3617543.8323263968</v>
      </c>
      <c r="Q17" s="326">
        <v>-158560.09070294784</v>
      </c>
      <c r="R17" s="326">
        <v>-27039.065038217781</v>
      </c>
      <c r="S17" s="327">
        <f t="shared" si="7"/>
        <v>-185599.15574116562</v>
      </c>
      <c r="U17" s="321">
        <v>9745270.6275600009</v>
      </c>
      <c r="V17" s="321">
        <f t="shared" si="3"/>
        <v>2221775.7136780173</v>
      </c>
      <c r="W17" s="321">
        <f t="shared" si="4"/>
        <v>2221775.7136780173</v>
      </c>
      <c r="Y17" s="344"/>
    </row>
    <row r="18" spans="1:25">
      <c r="B18" s="322" t="s">
        <v>185</v>
      </c>
      <c r="D18" s="323">
        <f t="shared" si="2"/>
        <v>3778761.8849447635</v>
      </c>
      <c r="E18" s="321">
        <v>3758761.8849447635</v>
      </c>
      <c r="F18" s="321">
        <v>20000</v>
      </c>
      <c r="H18" s="321">
        <v>3882450.8186399513</v>
      </c>
      <c r="I18" s="321">
        <v>289730</v>
      </c>
      <c r="J18" s="323">
        <f t="shared" si="5"/>
        <v>4172180.8186399513</v>
      </c>
      <c r="K18" s="321">
        <v>-1743227.1758961787</v>
      </c>
      <c r="L18" s="321">
        <v>-36108</v>
      </c>
      <c r="M18" s="323">
        <f t="shared" si="6"/>
        <v>-1779335.1758961787</v>
      </c>
      <c r="Q18" s="326">
        <v>-96428.571428571435</v>
      </c>
      <c r="R18" s="326">
        <v>-50471.860642319363</v>
      </c>
      <c r="S18" s="327">
        <f t="shared" si="7"/>
        <v>-146900.43207089079</v>
      </c>
      <c r="U18" s="321">
        <v>4868602.4782800004</v>
      </c>
      <c r="V18" s="321">
        <f t="shared" si="3"/>
        <v>1156104.617337645</v>
      </c>
      <c r="W18" s="321">
        <f t="shared" si="4"/>
        <v>1156104.617337645</v>
      </c>
    </row>
    <row r="19" spans="1:25">
      <c r="B19" s="322" t="s">
        <v>99</v>
      </c>
      <c r="D19" s="323">
        <f t="shared" si="2"/>
        <v>1376907.2890387527</v>
      </c>
      <c r="E19" s="321">
        <v>1336907.2890387527</v>
      </c>
      <c r="F19" s="321">
        <v>40000</v>
      </c>
      <c r="H19" s="321">
        <v>726697.63920795778</v>
      </c>
      <c r="I19" s="321">
        <v>64500</v>
      </c>
      <c r="J19" s="323">
        <f t="shared" si="5"/>
        <v>791197.63920795778</v>
      </c>
      <c r="K19" s="321">
        <v>-429969.23206167767</v>
      </c>
      <c r="L19" s="321">
        <v>-7688</v>
      </c>
      <c r="M19" s="323">
        <f t="shared" si="6"/>
        <v>-437657.23206167767</v>
      </c>
      <c r="N19" s="325">
        <v>437657.23206167767</v>
      </c>
      <c r="O19" s="325">
        <v>25122.180675124997</v>
      </c>
      <c r="Q19" s="326">
        <v>-29421.768707482992</v>
      </c>
      <c r="R19" s="326">
        <v>-9447.0693097034527</v>
      </c>
      <c r="S19" s="327">
        <f t="shared" si="7"/>
        <v>423910.57471961621</v>
      </c>
      <c r="U19" s="321">
        <v>2300326.9317999999</v>
      </c>
      <c r="V19" s="321">
        <f t="shared" si="3"/>
        <v>-145968.66089535085</v>
      </c>
      <c r="W19" s="321">
        <f t="shared" si="4"/>
        <v>-145968.66089535085</v>
      </c>
    </row>
    <row r="20" spans="1:25">
      <c r="B20" s="322" t="s">
        <v>133</v>
      </c>
      <c r="D20" s="323">
        <f t="shared" si="2"/>
        <v>3973591.0406755237</v>
      </c>
      <c r="E20" s="321">
        <v>3943591.0406755237</v>
      </c>
      <c r="F20" s="321">
        <v>30000</v>
      </c>
      <c r="H20" s="321">
        <v>845546.46544080239</v>
      </c>
      <c r="I20" s="321">
        <v>38970</v>
      </c>
      <c r="J20" s="323">
        <f t="shared" si="5"/>
        <v>884516.46544080239</v>
      </c>
      <c r="K20" s="321">
        <v>-927971.37652908161</v>
      </c>
      <c r="L20" s="321">
        <v>-6632</v>
      </c>
      <c r="M20" s="323">
        <f t="shared" si="6"/>
        <v>-934603.37652908161</v>
      </c>
      <c r="N20" s="325">
        <v>934603.37652908161</v>
      </c>
      <c r="O20" s="325">
        <v>366864.68721573806</v>
      </c>
      <c r="Q20" s="326">
        <v>-50283.446712018143</v>
      </c>
      <c r="R20" s="326">
        <v>-10992.10405073043</v>
      </c>
      <c r="S20" s="327">
        <f t="shared" si="7"/>
        <v>1240192.5129820711</v>
      </c>
      <c r="U20" s="321">
        <v>6788974.2809359999</v>
      </c>
      <c r="V20" s="321">
        <f t="shared" si="3"/>
        <v>-1625277.6383666843</v>
      </c>
      <c r="W20" s="321">
        <f t="shared" si="4"/>
        <v>-1625277.6383666843</v>
      </c>
    </row>
    <row r="21" spans="1:25">
      <c r="B21" s="322" t="s">
        <v>98</v>
      </c>
      <c r="C21" s="321">
        <v>0</v>
      </c>
      <c r="D21" s="323">
        <f t="shared" si="2"/>
        <v>5685750.0470331227</v>
      </c>
      <c r="E21" s="321">
        <v>5625750.0470331227</v>
      </c>
      <c r="F21" s="321">
        <v>60000</v>
      </c>
      <c r="H21" s="321">
        <v>2526271.8431539815</v>
      </c>
      <c r="I21" s="321">
        <v>82680</v>
      </c>
      <c r="J21" s="323">
        <f t="shared" si="5"/>
        <v>2608951.8431539815</v>
      </c>
      <c r="K21" s="321">
        <v>-1696005.4725467761</v>
      </c>
      <c r="L21" s="321">
        <v>-11900</v>
      </c>
      <c r="M21" s="323">
        <f t="shared" si="6"/>
        <v>-1707905.4725467761</v>
      </c>
      <c r="N21" s="325">
        <v>1707905.4725467761</v>
      </c>
      <c r="O21" s="325">
        <v>142811.82815293019</v>
      </c>
      <c r="Q21" s="326">
        <v>-101247.16553287982</v>
      </c>
      <c r="R21" s="326">
        <v>-32841.533961001762</v>
      </c>
      <c r="S21" s="327">
        <f t="shared" si="7"/>
        <v>1716628.6012058246</v>
      </c>
      <c r="U21" s="321">
        <v>9046343.090992</v>
      </c>
      <c r="V21" s="321">
        <f t="shared" si="3"/>
        <v>-742918.07214584667</v>
      </c>
      <c r="W21" s="321">
        <f t="shared" si="4"/>
        <v>-742918.07214584667</v>
      </c>
    </row>
    <row r="22" spans="1:25">
      <c r="B22" s="322" t="s">
        <v>103</v>
      </c>
      <c r="D22" s="323">
        <f t="shared" si="2"/>
        <v>4938703.4214450493</v>
      </c>
      <c r="E22" s="321">
        <v>4848703.4214450493</v>
      </c>
      <c r="F22" s="321">
        <v>90000</v>
      </c>
      <c r="H22" s="321">
        <v>928369.48108310415</v>
      </c>
      <c r="I22" s="321">
        <v>17580</v>
      </c>
      <c r="J22" s="323">
        <f t="shared" si="5"/>
        <v>945949.48108310415</v>
      </c>
      <c r="K22" s="321">
        <v>-1200896.2256320384</v>
      </c>
      <c r="L22" s="321">
        <v>-2740</v>
      </c>
      <c r="M22" s="323">
        <f t="shared" si="6"/>
        <v>-1203636.2256320384</v>
      </c>
      <c r="N22" s="325">
        <v>1203636.2256320384</v>
      </c>
      <c r="O22" s="325">
        <v>69605.975946530831</v>
      </c>
      <c r="Q22" s="326">
        <v>-38378.684807256235</v>
      </c>
      <c r="R22" s="326">
        <v>-12068.803254080354</v>
      </c>
      <c r="S22" s="327">
        <f t="shared" si="7"/>
        <v>1222794.7135172328</v>
      </c>
      <c r="U22" s="321">
        <v>6251000.1443520002</v>
      </c>
      <c r="V22" s="321">
        <f t="shared" si="3"/>
        <v>-347188.75393865164</v>
      </c>
      <c r="W22" s="321">
        <f t="shared" si="4"/>
        <v>-347188.75393865164</v>
      </c>
    </row>
    <row r="23" spans="1:25">
      <c r="B23" s="322" t="s">
        <v>134</v>
      </c>
      <c r="D23" s="323">
        <f t="shared" si="2"/>
        <v>4726098.5081441738</v>
      </c>
      <c r="E23" s="321">
        <v>4694098.5081441738</v>
      </c>
      <c r="F23" s="321">
        <v>32000</v>
      </c>
      <c r="H23" s="321">
        <v>2130925.8980551967</v>
      </c>
      <c r="I23" s="321">
        <v>52620</v>
      </c>
      <c r="J23" s="323">
        <f t="shared" si="5"/>
        <v>2183545.8980551967</v>
      </c>
      <c r="K23" s="321">
        <v>-1521423.1015498429</v>
      </c>
      <c r="L23" s="321">
        <v>-10112</v>
      </c>
      <c r="M23" s="323">
        <f t="shared" si="6"/>
        <v>-1531535.1015498429</v>
      </c>
      <c r="Q23" s="326">
        <v>-118650.79365079365</v>
      </c>
      <c r="R23" s="326">
        <v>-27702.036674717561</v>
      </c>
      <c r="S23" s="327">
        <f t="shared" si="7"/>
        <v>-146352.83032551123</v>
      </c>
      <c r="U23" s="321">
        <v>5888572.5409840001</v>
      </c>
      <c r="V23" s="321">
        <f t="shared" si="3"/>
        <v>-656816.06665998325</v>
      </c>
      <c r="W23" s="321">
        <f t="shared" si="4"/>
        <v>-656816.06665998325</v>
      </c>
    </row>
    <row r="24" spans="1:25" s="322" customFormat="1">
      <c r="A24" s="342" t="s">
        <v>243</v>
      </c>
      <c r="B24" s="343"/>
      <c r="C24" s="343">
        <f>SUBTOTAL(9,C25:C27)</f>
        <v>0</v>
      </c>
      <c r="D24" s="343">
        <f t="shared" ref="D24:W24" si="8">SUBTOTAL(9,D25:D27)</f>
        <v>544639.41427820479</v>
      </c>
      <c r="E24" s="343">
        <f t="shared" si="8"/>
        <v>544639.41427820479</v>
      </c>
      <c r="F24" s="343">
        <f t="shared" si="8"/>
        <v>0</v>
      </c>
      <c r="G24" s="343">
        <f t="shared" si="8"/>
        <v>40000</v>
      </c>
      <c r="H24" s="343">
        <f t="shared" si="8"/>
        <v>29118.805194072826</v>
      </c>
      <c r="I24" s="343">
        <f t="shared" si="8"/>
        <v>2652000</v>
      </c>
      <c r="J24" s="343">
        <f t="shared" si="8"/>
        <v>2681118.8051940729</v>
      </c>
      <c r="K24" s="343">
        <f t="shared" si="8"/>
        <v>-19248.554868069405</v>
      </c>
      <c r="L24" s="343">
        <f t="shared" si="8"/>
        <v>-226000</v>
      </c>
      <c r="M24" s="343">
        <f t="shared" si="8"/>
        <v>-245248.55486806942</v>
      </c>
      <c r="N24" s="343">
        <f t="shared" si="8"/>
        <v>0</v>
      </c>
      <c r="O24" s="343">
        <f t="shared" si="8"/>
        <v>0</v>
      </c>
      <c r="P24" s="343">
        <f t="shared" si="8"/>
        <v>0</v>
      </c>
      <c r="Q24" s="343">
        <f t="shared" si="8"/>
        <v>1000000</v>
      </c>
      <c r="R24" s="343">
        <f t="shared" si="8"/>
        <v>-378.54446752294677</v>
      </c>
      <c r="S24" s="343">
        <f t="shared" si="8"/>
        <v>999621.455532477</v>
      </c>
      <c r="T24" s="343">
        <f t="shared" si="8"/>
        <v>0</v>
      </c>
      <c r="U24" s="343">
        <f t="shared" si="8"/>
        <v>3852554.0010000002</v>
      </c>
      <c r="V24" s="343">
        <f t="shared" si="8"/>
        <v>167577.11913668516</v>
      </c>
      <c r="W24" s="343">
        <f t="shared" si="8"/>
        <v>167577.11913668516</v>
      </c>
    </row>
    <row r="25" spans="1:25">
      <c r="B25" s="322" t="s">
        <v>135</v>
      </c>
      <c r="D25" s="323">
        <f>SUM(E25:F25)</f>
        <v>179208</v>
      </c>
      <c r="E25" s="321">
        <v>179208</v>
      </c>
      <c r="H25" s="321">
        <v>3900</v>
      </c>
      <c r="I25" s="321">
        <v>3000</v>
      </c>
      <c r="J25" s="323">
        <f t="shared" si="5"/>
        <v>6900</v>
      </c>
      <c r="K25" s="321">
        <v>-975</v>
      </c>
      <c r="L25" s="321">
        <v>-300</v>
      </c>
      <c r="M25" s="323">
        <f t="shared" si="6"/>
        <v>-1275</v>
      </c>
      <c r="Q25" s="326">
        <v>1000000</v>
      </c>
      <c r="R25" s="326">
        <v>-50.7</v>
      </c>
      <c r="S25" s="327">
        <f t="shared" si="7"/>
        <v>999949.3</v>
      </c>
      <c r="U25" s="321">
        <v>1209545.1510000001</v>
      </c>
      <c r="V25" s="321">
        <f>C25+D25+J25+M25+S25+T25-U25+G25</f>
        <v>-24762.851000000024</v>
      </c>
      <c r="W25" s="321">
        <f>D25+G25+J25+M25+S25+T25-U25</f>
        <v>-24762.851000000024</v>
      </c>
    </row>
    <row r="26" spans="1:25">
      <c r="B26" s="322" t="s">
        <v>106</v>
      </c>
      <c r="D26" s="323">
        <f>SUM(E26:F26)</f>
        <v>164477.76442148862</v>
      </c>
      <c r="E26" s="321">
        <v>164477.76442148862</v>
      </c>
      <c r="G26" s="323">
        <v>40000</v>
      </c>
      <c r="H26" s="321">
        <v>7499.5944055043365</v>
      </c>
      <c r="I26" s="321">
        <v>1330000</v>
      </c>
      <c r="J26" s="323">
        <f t="shared" si="5"/>
        <v>1337499.5944055044</v>
      </c>
      <c r="K26" s="321">
        <v>-7042.3397067482292</v>
      </c>
      <c r="L26" s="321">
        <v>-137500</v>
      </c>
      <c r="M26" s="323">
        <f t="shared" si="6"/>
        <v>-144542.33970674823</v>
      </c>
      <c r="R26" s="326">
        <v>-97.494727271556386</v>
      </c>
      <c r="S26" s="327">
        <f t="shared" si="7"/>
        <v>-97.494727271556386</v>
      </c>
      <c r="U26" s="321">
        <v>1030803.275</v>
      </c>
      <c r="V26" s="321">
        <f>C26+D26+J26+M26+S26+T26-U26+G26</f>
        <v>366534.24939297314</v>
      </c>
      <c r="W26" s="321">
        <f>D26+G26+J26+M26+S26+T26-U26</f>
        <v>366534.24939297314</v>
      </c>
    </row>
    <row r="27" spans="1:25">
      <c r="B27" s="322" t="s">
        <v>105</v>
      </c>
      <c r="D27" s="323">
        <f>SUM(E27:F27)</f>
        <v>200953.64985671622</v>
      </c>
      <c r="E27" s="321">
        <v>200953.64985671622</v>
      </c>
      <c r="H27" s="321">
        <v>17719.210788568489</v>
      </c>
      <c r="I27" s="321">
        <v>1319000</v>
      </c>
      <c r="J27" s="323">
        <f t="shared" si="5"/>
        <v>1336719.2107885685</v>
      </c>
      <c r="K27" s="321">
        <v>-11231.215161321175</v>
      </c>
      <c r="L27" s="321">
        <v>-88200</v>
      </c>
      <c r="M27" s="323">
        <f t="shared" si="6"/>
        <v>-99431.215161321175</v>
      </c>
      <c r="R27" s="326">
        <v>-230.34974025139039</v>
      </c>
      <c r="S27" s="327">
        <f t="shared" si="7"/>
        <v>-230.34974025139039</v>
      </c>
      <c r="U27" s="321">
        <v>1612205.575</v>
      </c>
      <c r="V27" s="321">
        <f>C27+D27+J27+M27+S27+T27-U27+G27</f>
        <v>-174194.27925628796</v>
      </c>
      <c r="W27" s="321">
        <f>D27+G27+J27+M27+S27+T27-U27</f>
        <v>-174194.27925628796</v>
      </c>
    </row>
    <row r="28" spans="1:25" s="322" customFormat="1">
      <c r="A28" s="342" t="s">
        <v>245</v>
      </c>
      <c r="B28" s="343"/>
      <c r="C28" s="343">
        <f>SUBTOTAL(9,C29:C33)</f>
        <v>0</v>
      </c>
      <c r="D28" s="343">
        <f t="shared" ref="D28:W28" si="9">SUBTOTAL(9,D29:D33)</f>
        <v>169474.31704428693</v>
      </c>
      <c r="E28" s="343">
        <f t="shared" si="9"/>
        <v>121511.31704428693</v>
      </c>
      <c r="F28" s="343">
        <f t="shared" si="9"/>
        <v>47963</v>
      </c>
      <c r="G28" s="343">
        <f t="shared" si="9"/>
        <v>-300000</v>
      </c>
      <c r="H28" s="343">
        <f t="shared" si="9"/>
        <v>14328.634149985197</v>
      </c>
      <c r="I28" s="343">
        <f t="shared" si="9"/>
        <v>36000</v>
      </c>
      <c r="J28" s="343">
        <f t="shared" si="9"/>
        <v>50328.634149985199</v>
      </c>
      <c r="K28" s="343">
        <f t="shared" si="9"/>
        <v>-15827.987798568029</v>
      </c>
      <c r="L28" s="343">
        <f t="shared" si="9"/>
        <v>-3600</v>
      </c>
      <c r="M28" s="343">
        <f t="shared" si="9"/>
        <v>-19427.987798568029</v>
      </c>
      <c r="N28" s="343">
        <f t="shared" si="9"/>
        <v>0</v>
      </c>
      <c r="O28" s="343">
        <f t="shared" si="9"/>
        <v>0</v>
      </c>
      <c r="P28" s="343">
        <f t="shared" si="9"/>
        <v>1320550</v>
      </c>
      <c r="Q28" s="343">
        <f t="shared" si="9"/>
        <v>0</v>
      </c>
      <c r="R28" s="343">
        <f t="shared" si="9"/>
        <v>-186.27224394980757</v>
      </c>
      <c r="S28" s="343">
        <f t="shared" si="9"/>
        <v>1320363.7277560502</v>
      </c>
      <c r="T28" s="343">
        <f t="shared" si="9"/>
        <v>0</v>
      </c>
      <c r="U28" s="343">
        <f t="shared" si="9"/>
        <v>4548872.5049999999</v>
      </c>
      <c r="V28" s="343">
        <f t="shared" si="9"/>
        <v>-3328133.8138482459</v>
      </c>
      <c r="W28" s="343">
        <f t="shared" si="9"/>
        <v>-3328133.8138482459</v>
      </c>
    </row>
    <row r="29" spans="1:25">
      <c r="B29" s="322" t="s">
        <v>136</v>
      </c>
      <c r="D29" s="323">
        <f>SUM(E29:F29)</f>
        <v>121511.31704428693</v>
      </c>
      <c r="E29" s="321">
        <v>121511.31704428693</v>
      </c>
      <c r="H29" s="321">
        <v>14328.634149985197</v>
      </c>
      <c r="J29" s="323">
        <f>SUM(H29:I29)</f>
        <v>14328.634149985197</v>
      </c>
      <c r="K29" s="321">
        <v>-15827.987798568029</v>
      </c>
      <c r="M29" s="323">
        <f>SUM(K29:L29)</f>
        <v>-15827.987798568029</v>
      </c>
      <c r="P29" s="326">
        <v>360000</v>
      </c>
      <c r="R29" s="326">
        <v>-186.27224394980757</v>
      </c>
      <c r="S29" s="327">
        <f>SUM(N29:R29)</f>
        <v>359813.72775605018</v>
      </c>
      <c r="U29" s="321">
        <v>479512.2</v>
      </c>
      <c r="V29" s="321">
        <f>C29+D29+J29+M29+S29+T29-U29+G29</f>
        <v>313.49115175422048</v>
      </c>
      <c r="W29" s="321">
        <f>D29+G29+J29+M29+S29+T29-U29</f>
        <v>313.49115175422048</v>
      </c>
    </row>
    <row r="30" spans="1:25">
      <c r="B30" s="322" t="s">
        <v>114</v>
      </c>
      <c r="D30" s="323">
        <f>SUM(E30:F30)</f>
        <v>47963</v>
      </c>
      <c r="F30" s="321">
        <v>47963</v>
      </c>
      <c r="J30" s="323">
        <f>SUM(H30:I30)</f>
        <v>0</v>
      </c>
      <c r="M30" s="323">
        <f>SUM(K30:L30)</f>
        <v>0</v>
      </c>
      <c r="P30" s="326">
        <v>830000</v>
      </c>
      <c r="S30" s="327">
        <f>SUM(N30:R30)</f>
        <v>830000</v>
      </c>
      <c r="U30" s="321">
        <v>879119.22</v>
      </c>
      <c r="V30" s="321">
        <f>C30+D30+J30+M30+S30+T30-U30+G30</f>
        <v>-1156.2199999999721</v>
      </c>
      <c r="W30" s="321">
        <f>D30+G30+J30+M30+S30+T30-U30</f>
        <v>-1156.2199999999721</v>
      </c>
    </row>
    <row r="31" spans="1:25">
      <c r="B31" s="322" t="s">
        <v>115</v>
      </c>
      <c r="D31" s="323">
        <f>SUM(E31:F31)</f>
        <v>0</v>
      </c>
      <c r="J31" s="323">
        <f>SUM(H31:I31)</f>
        <v>0</v>
      </c>
      <c r="M31" s="323">
        <f>SUM(K31:L31)</f>
        <v>0</v>
      </c>
      <c r="P31" s="326">
        <v>100000</v>
      </c>
      <c r="S31" s="327">
        <f>SUM(N31:R31)</f>
        <v>100000</v>
      </c>
      <c r="U31" s="321">
        <v>98632.61</v>
      </c>
      <c r="V31" s="321">
        <f>C31+D31+J31+M31+S31+T31-U31+G31</f>
        <v>1367.3899999999994</v>
      </c>
      <c r="W31" s="321">
        <f>D31+G31+J31+M31+S31+T31-U31</f>
        <v>1367.3899999999994</v>
      </c>
    </row>
    <row r="32" spans="1:25">
      <c r="B32" s="322" t="s">
        <v>116</v>
      </c>
      <c r="D32" s="323">
        <f>SUM(E32:F32)</f>
        <v>0</v>
      </c>
      <c r="I32" s="321">
        <v>36000</v>
      </c>
      <c r="J32" s="323">
        <f>SUM(H32:I32)</f>
        <v>36000</v>
      </c>
      <c r="L32" s="321">
        <v>-3600</v>
      </c>
      <c r="M32" s="323">
        <f>SUM(K32:L32)</f>
        <v>-3600</v>
      </c>
      <c r="P32" s="326">
        <v>30550</v>
      </c>
      <c r="S32" s="327">
        <f>SUM(N32:R32)</f>
        <v>30550</v>
      </c>
      <c r="U32" s="321">
        <v>63931.525000000001</v>
      </c>
      <c r="V32" s="321">
        <f>C32+D32+J32+M32+S32+T32-U32+G32</f>
        <v>-981.52500000000146</v>
      </c>
      <c r="W32" s="321">
        <f>D32+G32+J32+M32+S32+T32-U32</f>
        <v>-981.52500000000146</v>
      </c>
    </row>
    <row r="33" spans="1:23">
      <c r="B33" s="322" t="s">
        <v>122</v>
      </c>
      <c r="D33" s="323">
        <f>SUM(E33:F33)</f>
        <v>0</v>
      </c>
      <c r="G33" s="323">
        <v>-300000</v>
      </c>
      <c r="J33" s="323">
        <f>SUM(H33:I33)</f>
        <v>0</v>
      </c>
      <c r="M33" s="323">
        <f>SUM(K33:L33)</f>
        <v>0</v>
      </c>
      <c r="S33" s="327">
        <f>SUM(N33:R33)</f>
        <v>0</v>
      </c>
      <c r="U33" s="321">
        <v>3027676.95</v>
      </c>
      <c r="V33" s="321">
        <f>C33+D33+J33+M33+S33+T33-U33+G33</f>
        <v>-3327676.95</v>
      </c>
      <c r="W33" s="321">
        <f>D33+G33+J33+M33+S33+T33-U33</f>
        <v>-3327676.95</v>
      </c>
    </row>
    <row r="34" spans="1:23" s="322" customFormat="1">
      <c r="A34" s="342" t="s">
        <v>271</v>
      </c>
      <c r="B34" s="343"/>
      <c r="C34" s="343">
        <f>SUBTOTAL(9,C35:C39)</f>
        <v>0</v>
      </c>
      <c r="D34" s="343">
        <f t="shared" ref="D34:W34" si="10">SUBTOTAL(9,D35:D39)</f>
        <v>3054960</v>
      </c>
      <c r="E34" s="343">
        <f t="shared" si="10"/>
        <v>0</v>
      </c>
      <c r="F34" s="343">
        <f t="shared" si="10"/>
        <v>3054960</v>
      </c>
      <c r="G34" s="343">
        <f t="shared" si="10"/>
        <v>700000</v>
      </c>
      <c r="H34" s="343">
        <f t="shared" si="10"/>
        <v>0</v>
      </c>
      <c r="I34" s="343">
        <f t="shared" si="10"/>
        <v>5369091</v>
      </c>
      <c r="J34" s="343">
        <f t="shared" si="10"/>
        <v>5369091</v>
      </c>
      <c r="K34" s="343">
        <f t="shared" si="10"/>
        <v>0</v>
      </c>
      <c r="L34" s="343">
        <f t="shared" si="10"/>
        <v>-66100</v>
      </c>
      <c r="M34" s="343">
        <f t="shared" si="10"/>
        <v>-66100</v>
      </c>
      <c r="N34" s="343">
        <f t="shared" si="10"/>
        <v>0</v>
      </c>
      <c r="O34" s="343">
        <f t="shared" si="10"/>
        <v>0</v>
      </c>
      <c r="P34" s="343">
        <f t="shared" si="10"/>
        <v>2825000</v>
      </c>
      <c r="Q34" s="343">
        <f t="shared" si="10"/>
        <v>0</v>
      </c>
      <c r="R34" s="343">
        <f t="shared" si="10"/>
        <v>315118.13994635007</v>
      </c>
      <c r="S34" s="343">
        <f t="shared" si="10"/>
        <v>3140118.1399463499</v>
      </c>
      <c r="T34" s="343">
        <f t="shared" si="10"/>
        <v>-127056</v>
      </c>
      <c r="U34" s="343">
        <f t="shared" si="10"/>
        <v>12487883.637499999</v>
      </c>
      <c r="V34" s="343">
        <f t="shared" si="10"/>
        <v>-416870.49755364994</v>
      </c>
      <c r="W34" s="343">
        <f t="shared" si="10"/>
        <v>-416870.49755364994</v>
      </c>
    </row>
    <row r="35" spans="1:23">
      <c r="B35" s="322" t="s">
        <v>203</v>
      </c>
      <c r="D35" s="323">
        <f>SUM(E35:F35)</f>
        <v>408039</v>
      </c>
      <c r="F35" s="321">
        <v>408039</v>
      </c>
      <c r="G35" s="323">
        <v>700000</v>
      </c>
      <c r="I35" s="321">
        <v>586091</v>
      </c>
      <c r="J35" s="323">
        <f>SUM(H35:I35)</f>
        <v>586091</v>
      </c>
      <c r="M35" s="323">
        <f>SUM(K35:L35)</f>
        <v>0</v>
      </c>
      <c r="S35" s="327">
        <f>SUM(N35:R35)</f>
        <v>0</v>
      </c>
      <c r="T35" s="323">
        <v>-127056</v>
      </c>
      <c r="U35" s="321">
        <v>1567074</v>
      </c>
      <c r="V35" s="321">
        <f>C35+D35+J35+M35+S35+T35-U35+G35</f>
        <v>0</v>
      </c>
      <c r="W35" s="321">
        <f>D35+G35+J35+M35+S35+T35-U35</f>
        <v>0</v>
      </c>
    </row>
    <row r="36" spans="1:23">
      <c r="B36" s="322" t="s">
        <v>124</v>
      </c>
      <c r="D36" s="323">
        <f>SUM(E36:F36)</f>
        <v>2646921</v>
      </c>
      <c r="F36" s="321">
        <v>2646921</v>
      </c>
      <c r="I36" s="321">
        <v>2970000</v>
      </c>
      <c r="J36" s="323">
        <f>SUM(H36:I36)</f>
        <v>2970000</v>
      </c>
      <c r="L36" s="321">
        <v>-15100</v>
      </c>
      <c r="M36" s="323">
        <f>SUM(K36:L36)</f>
        <v>-15100</v>
      </c>
      <c r="S36" s="327">
        <f>SUM(N36:R36)</f>
        <v>0</v>
      </c>
      <c r="U36" s="321">
        <v>5601820.75</v>
      </c>
      <c r="V36" s="321">
        <f>C36+D36+J36+M36+S36+T36-U36+G36</f>
        <v>0.25</v>
      </c>
      <c r="W36" s="321">
        <f>D36+G36+J36+M36+S36+T36-U36</f>
        <v>0.25</v>
      </c>
    </row>
    <row r="37" spans="1:23">
      <c r="B37" s="322" t="s">
        <v>125</v>
      </c>
      <c r="D37" s="323">
        <f>SUM(E37:F37)</f>
        <v>0</v>
      </c>
      <c r="I37" s="321">
        <v>1803000</v>
      </c>
      <c r="J37" s="323">
        <f>SUM(H37:I37)</f>
        <v>1803000</v>
      </c>
      <c r="L37" s="321">
        <v>-50000</v>
      </c>
      <c r="M37" s="323">
        <f>SUM(K37:L37)</f>
        <v>-50000</v>
      </c>
      <c r="S37" s="327">
        <f>SUM(N37:R37)</f>
        <v>0</v>
      </c>
      <c r="U37" s="321">
        <v>2170353.25</v>
      </c>
      <c r="V37" s="321">
        <f>C37+D37+J37+M37+S37+T37-U37+G37</f>
        <v>-417353.25</v>
      </c>
      <c r="W37" s="321">
        <f>D37+G37+J37+M37+S37+T37-U37</f>
        <v>-417353.25</v>
      </c>
    </row>
    <row r="38" spans="1:23">
      <c r="B38" s="322" t="s">
        <v>155</v>
      </c>
      <c r="D38" s="323">
        <f>SUM(E38:F38)</f>
        <v>0</v>
      </c>
      <c r="I38" s="321">
        <v>10000</v>
      </c>
      <c r="J38" s="323">
        <f t="shared" si="5"/>
        <v>10000</v>
      </c>
      <c r="L38" s="321">
        <v>-1000</v>
      </c>
      <c r="M38" s="323">
        <f t="shared" si="6"/>
        <v>-1000</v>
      </c>
      <c r="P38" s="326">
        <v>2825000</v>
      </c>
      <c r="S38" s="327">
        <f t="shared" si="7"/>
        <v>2825000</v>
      </c>
      <c r="U38" s="321">
        <v>2833517</v>
      </c>
      <c r="V38" s="321">
        <f>C38+D38+J38+M38+S38+T38-U38+G38</f>
        <v>483</v>
      </c>
      <c r="W38" s="321">
        <f>D38+G38+J38+M38+S38+T38-U38</f>
        <v>483</v>
      </c>
    </row>
    <row r="39" spans="1:23">
      <c r="B39" s="322" t="s">
        <v>107</v>
      </c>
      <c r="D39" s="323">
        <f>SUM(E39:F39)</f>
        <v>0</v>
      </c>
      <c r="J39" s="323">
        <f t="shared" si="5"/>
        <v>0</v>
      </c>
      <c r="M39" s="323">
        <f t="shared" si="6"/>
        <v>0</v>
      </c>
      <c r="R39" s="326">
        <v>315118.13994635007</v>
      </c>
      <c r="S39" s="327">
        <f t="shared" si="7"/>
        <v>315118.13994635007</v>
      </c>
      <c r="U39" s="321">
        <v>315118.63750000001</v>
      </c>
      <c r="V39" s="321">
        <f>C39+D39+J39+M39+S39+T39-U39+G39</f>
        <v>-0.49755364994052798</v>
      </c>
      <c r="W39" s="321">
        <f>D39+G39+J39+M39+S39+T39-U39</f>
        <v>-0.49755364994052798</v>
      </c>
    </row>
    <row r="40" spans="1:23" s="322" customFormat="1">
      <c r="A40" s="342" t="s">
        <v>250</v>
      </c>
      <c r="B40" s="342"/>
      <c r="C40" s="343">
        <f>SUBTOTAL(9,C41:C45)</f>
        <v>0</v>
      </c>
      <c r="D40" s="343">
        <f t="shared" ref="D40:W40" si="11">SUBTOTAL(9,D41:D45)</f>
        <v>0</v>
      </c>
      <c r="E40" s="343">
        <f t="shared" si="11"/>
        <v>0</v>
      </c>
      <c r="F40" s="343">
        <f t="shared" si="11"/>
        <v>0</v>
      </c>
      <c r="G40" s="343">
        <f t="shared" si="11"/>
        <v>0</v>
      </c>
      <c r="H40" s="343">
        <f t="shared" si="11"/>
        <v>0</v>
      </c>
      <c r="I40" s="343">
        <f t="shared" si="11"/>
        <v>45000</v>
      </c>
      <c r="J40" s="343">
        <f t="shared" si="11"/>
        <v>45000</v>
      </c>
      <c r="K40" s="343">
        <f t="shared" si="11"/>
        <v>0</v>
      </c>
      <c r="L40" s="343">
        <f t="shared" si="11"/>
        <v>-4500</v>
      </c>
      <c r="M40" s="343">
        <f t="shared" si="11"/>
        <v>-4500</v>
      </c>
      <c r="N40" s="343">
        <f t="shared" si="11"/>
        <v>0</v>
      </c>
      <c r="O40" s="343">
        <f t="shared" si="11"/>
        <v>0</v>
      </c>
      <c r="P40" s="343">
        <f t="shared" si="11"/>
        <v>574600</v>
      </c>
      <c r="Q40" s="343">
        <f t="shared" si="11"/>
        <v>0</v>
      </c>
      <c r="R40" s="343">
        <f t="shared" si="11"/>
        <v>0</v>
      </c>
      <c r="S40" s="343">
        <f t="shared" si="11"/>
        <v>574600</v>
      </c>
      <c r="T40" s="343">
        <f t="shared" si="11"/>
        <v>0</v>
      </c>
      <c r="U40" s="343">
        <f t="shared" si="11"/>
        <v>618706.34900000005</v>
      </c>
      <c r="V40" s="343">
        <f t="shared" si="11"/>
        <v>-3606.3490000000311</v>
      </c>
      <c r="W40" s="343">
        <f t="shared" si="11"/>
        <v>-3606.3490000000311</v>
      </c>
    </row>
    <row r="41" spans="1:23">
      <c r="B41" s="322" t="s">
        <v>108</v>
      </c>
      <c r="D41" s="323">
        <f>SUM(E41:F41)</f>
        <v>0</v>
      </c>
      <c r="I41" s="321">
        <v>30000</v>
      </c>
      <c r="J41" s="323">
        <f t="shared" si="5"/>
        <v>30000</v>
      </c>
      <c r="L41" s="321">
        <v>-3000</v>
      </c>
      <c r="M41" s="323">
        <f t="shared" si="6"/>
        <v>-3000</v>
      </c>
      <c r="P41" s="326">
        <v>160000</v>
      </c>
      <c r="S41" s="327">
        <f t="shared" si="7"/>
        <v>160000</v>
      </c>
      <c r="U41" s="321">
        <v>189791.54250000001</v>
      </c>
      <c r="V41" s="321">
        <f>C41+D41+J41+M41+S41+T41-U41+G41</f>
        <v>-2791.5425000000105</v>
      </c>
      <c r="W41" s="321">
        <f>D41+G41+J41+M41+S41+T41-U41</f>
        <v>-2791.5425000000105</v>
      </c>
    </row>
    <row r="42" spans="1:23">
      <c r="B42" s="322" t="s">
        <v>109</v>
      </c>
      <c r="D42" s="323">
        <f>SUM(E42:F42)</f>
        <v>0</v>
      </c>
      <c r="I42" s="321">
        <v>15000</v>
      </c>
      <c r="J42" s="323">
        <f t="shared" si="5"/>
        <v>15000</v>
      </c>
      <c r="L42" s="321">
        <v>-1500</v>
      </c>
      <c r="M42" s="323">
        <f t="shared" si="6"/>
        <v>-1500</v>
      </c>
      <c r="P42" s="326">
        <v>160000</v>
      </c>
      <c r="S42" s="327">
        <f t="shared" si="7"/>
        <v>160000</v>
      </c>
      <c r="U42" s="321">
        <v>175028.45250000001</v>
      </c>
      <c r="V42" s="321">
        <f>C42+D42+J42+M42+S42+T42-U42+G42</f>
        <v>-1528.452500000014</v>
      </c>
      <c r="W42" s="321">
        <f>D42+G42+J42+M42+S42+T42-U42</f>
        <v>-1528.452500000014</v>
      </c>
    </row>
    <row r="43" spans="1:23">
      <c r="B43" s="322" t="s">
        <v>110</v>
      </c>
      <c r="D43" s="323">
        <f>SUM(E43:F43)</f>
        <v>0</v>
      </c>
      <c r="J43" s="323">
        <f t="shared" si="5"/>
        <v>0</v>
      </c>
      <c r="M43" s="323">
        <f t="shared" si="6"/>
        <v>0</v>
      </c>
      <c r="P43" s="326">
        <v>150000</v>
      </c>
      <c r="S43" s="327">
        <f t="shared" si="7"/>
        <v>150000</v>
      </c>
      <c r="U43" s="321">
        <v>149637.41250000001</v>
      </c>
      <c r="V43" s="321">
        <f>C43+D43+J43+M43+S43+T43-U43+G43</f>
        <v>362.58749999999418</v>
      </c>
      <c r="W43" s="321">
        <f>D43+G43+J43+M43+S43+T43-U43</f>
        <v>362.58749999999418</v>
      </c>
    </row>
    <row r="44" spans="1:23">
      <c r="B44" s="322" t="s">
        <v>111</v>
      </c>
      <c r="D44" s="323">
        <f>SUM(E44:F44)</f>
        <v>0</v>
      </c>
      <c r="J44" s="323">
        <f t="shared" si="5"/>
        <v>0</v>
      </c>
      <c r="M44" s="323">
        <f t="shared" si="6"/>
        <v>0</v>
      </c>
      <c r="P44" s="326">
        <v>47600</v>
      </c>
      <c r="S44" s="327">
        <f t="shared" si="7"/>
        <v>47600</v>
      </c>
      <c r="U44" s="321">
        <v>47416.654999999999</v>
      </c>
      <c r="V44" s="321">
        <f>C44+D44+J44+M44+S44+T44-U44+G44</f>
        <v>183.34500000000116</v>
      </c>
      <c r="W44" s="321">
        <f>D44+G44+J44+M44+S44+T44-U44</f>
        <v>183.34500000000116</v>
      </c>
    </row>
    <row r="45" spans="1:23">
      <c r="B45" s="322" t="s">
        <v>112</v>
      </c>
      <c r="D45" s="323">
        <f>SUM(E45:F45)</f>
        <v>0</v>
      </c>
      <c r="J45" s="323">
        <f t="shared" si="5"/>
        <v>0</v>
      </c>
      <c r="M45" s="323">
        <f t="shared" si="6"/>
        <v>0</v>
      </c>
      <c r="P45" s="326">
        <v>57000</v>
      </c>
      <c r="S45" s="327">
        <f t="shared" si="7"/>
        <v>57000</v>
      </c>
      <c r="U45" s="321">
        <v>56832.286500000002</v>
      </c>
      <c r="V45" s="321">
        <f>C45+D45+J45+M45+S45+T45-U45+G45</f>
        <v>167.71349999999802</v>
      </c>
      <c r="W45" s="321">
        <f>D45+G45+J45+M45+S45+T45-U45</f>
        <v>167.71349999999802</v>
      </c>
    </row>
    <row r="46" spans="1:23" s="322" customFormat="1">
      <c r="A46" s="342" t="s">
        <v>251</v>
      </c>
      <c r="B46" s="342"/>
      <c r="C46" s="343">
        <f>SUBTOTAL(9,C47:C51)</f>
        <v>0</v>
      </c>
      <c r="D46" s="343">
        <f t="shared" ref="D46:W46" si="12">SUBTOTAL(9,D47:D51)</f>
        <v>0</v>
      </c>
      <c r="E46" s="343">
        <f t="shared" si="12"/>
        <v>0</v>
      </c>
      <c r="F46" s="343">
        <f t="shared" si="12"/>
        <v>0</v>
      </c>
      <c r="G46" s="343">
        <f t="shared" si="12"/>
        <v>0</v>
      </c>
      <c r="H46" s="343">
        <f t="shared" si="12"/>
        <v>0</v>
      </c>
      <c r="I46" s="343">
        <f t="shared" si="12"/>
        <v>205000</v>
      </c>
      <c r="J46" s="343">
        <f t="shared" si="12"/>
        <v>205000</v>
      </c>
      <c r="K46" s="343">
        <f t="shared" si="12"/>
        <v>0</v>
      </c>
      <c r="L46" s="343">
        <f t="shared" si="12"/>
        <v>0</v>
      </c>
      <c r="M46" s="343">
        <f t="shared" si="12"/>
        <v>0</v>
      </c>
      <c r="N46" s="343">
        <f t="shared" si="12"/>
        <v>0</v>
      </c>
      <c r="O46" s="343">
        <f t="shared" si="12"/>
        <v>0</v>
      </c>
      <c r="P46" s="343">
        <f t="shared" si="12"/>
        <v>545000</v>
      </c>
      <c r="Q46" s="343">
        <f t="shared" si="12"/>
        <v>0</v>
      </c>
      <c r="R46" s="343">
        <f t="shared" si="12"/>
        <v>0</v>
      </c>
      <c r="S46" s="343">
        <f t="shared" si="12"/>
        <v>545000</v>
      </c>
      <c r="T46" s="343">
        <f t="shared" si="12"/>
        <v>0</v>
      </c>
      <c r="U46" s="343">
        <f t="shared" si="12"/>
        <v>751444.94750000001</v>
      </c>
      <c r="V46" s="343">
        <f t="shared" si="12"/>
        <v>-1444.9474999999729</v>
      </c>
      <c r="W46" s="343">
        <f t="shared" si="12"/>
        <v>-1444.9474999999729</v>
      </c>
    </row>
    <row r="47" spans="1:23">
      <c r="B47" s="322" t="s">
        <v>117</v>
      </c>
      <c r="D47" s="323">
        <f>SUM(E47:F47)</f>
        <v>0</v>
      </c>
      <c r="I47" s="321">
        <v>45000</v>
      </c>
      <c r="J47" s="323">
        <f t="shared" si="5"/>
        <v>45000</v>
      </c>
      <c r="M47" s="323">
        <f t="shared" si="6"/>
        <v>0</v>
      </c>
      <c r="P47" s="326">
        <v>195000</v>
      </c>
      <c r="S47" s="327">
        <f t="shared" si="7"/>
        <v>195000</v>
      </c>
      <c r="U47" s="323">
        <v>240600.05</v>
      </c>
      <c r="V47" s="321">
        <f>C47+D47+J47+M47+S47+T47-U47+G47</f>
        <v>-600.04999999998836</v>
      </c>
      <c r="W47" s="321">
        <f>D47+G47+J47+M47+S47+T47-U47</f>
        <v>-600.04999999998836</v>
      </c>
    </row>
    <row r="48" spans="1:23">
      <c r="B48" s="322" t="s">
        <v>118</v>
      </c>
      <c r="D48" s="323">
        <f>SUM(E48:F48)</f>
        <v>0</v>
      </c>
      <c r="I48" s="321">
        <v>130000</v>
      </c>
      <c r="J48" s="323">
        <f t="shared" si="5"/>
        <v>130000</v>
      </c>
      <c r="M48" s="323">
        <f t="shared" si="6"/>
        <v>0</v>
      </c>
      <c r="P48" s="326">
        <v>95000</v>
      </c>
      <c r="S48" s="327">
        <f t="shared" si="7"/>
        <v>95000</v>
      </c>
      <c r="U48" s="323">
        <v>225873.84</v>
      </c>
      <c r="V48" s="321">
        <f>C48+D48+J48+M48+S48+T48-U48+G48</f>
        <v>-873.83999999999651</v>
      </c>
      <c r="W48" s="321">
        <f>D48+G48+J48+M48+S48+T48-U48</f>
        <v>-873.83999999999651</v>
      </c>
    </row>
    <row r="49" spans="1:23">
      <c r="B49" s="322" t="s">
        <v>119</v>
      </c>
      <c r="D49" s="323">
        <f>SUM(E49:F49)</f>
        <v>0</v>
      </c>
      <c r="I49" s="321">
        <v>10000</v>
      </c>
      <c r="J49" s="323">
        <f t="shared" si="5"/>
        <v>10000</v>
      </c>
      <c r="M49" s="323">
        <f t="shared" si="6"/>
        <v>0</v>
      </c>
      <c r="P49" s="326">
        <v>95000</v>
      </c>
      <c r="S49" s="327">
        <f t="shared" si="7"/>
        <v>95000</v>
      </c>
      <c r="U49" s="323">
        <v>106091.4</v>
      </c>
      <c r="V49" s="321">
        <f>C49+D49+J49+M49+S49+T49-U49+G49</f>
        <v>-1091.3999999999942</v>
      </c>
      <c r="W49" s="321">
        <f>D49+G49+J49+M49+S49+T49-U49</f>
        <v>-1091.3999999999942</v>
      </c>
    </row>
    <row r="50" spans="1:23">
      <c r="B50" s="322" t="s">
        <v>120</v>
      </c>
      <c r="D50" s="323">
        <f>SUM(E50:F50)</f>
        <v>0</v>
      </c>
      <c r="I50" s="321">
        <v>10000</v>
      </c>
      <c r="J50" s="323">
        <f t="shared" si="5"/>
        <v>10000</v>
      </c>
      <c r="M50" s="323">
        <f t="shared" si="6"/>
        <v>0</v>
      </c>
      <c r="P50" s="326">
        <v>10000</v>
      </c>
      <c r="S50" s="327">
        <f t="shared" si="7"/>
        <v>10000</v>
      </c>
      <c r="U50" s="323">
        <v>20107.228750000002</v>
      </c>
      <c r="V50" s="321">
        <f>C50+D50+J50+M50+S50+T50-U50+G50</f>
        <v>-107.22875000000204</v>
      </c>
      <c r="W50" s="321">
        <f>D50+G50+J50+M50+S50+T50-U50</f>
        <v>-107.22875000000204</v>
      </c>
    </row>
    <row r="51" spans="1:23" ht="19.5" customHeight="1">
      <c r="B51" s="322" t="s">
        <v>121</v>
      </c>
      <c r="D51" s="323">
        <f>SUM(E51:F51)</f>
        <v>0</v>
      </c>
      <c r="I51" s="321">
        <v>10000</v>
      </c>
      <c r="J51" s="323">
        <f t="shared" si="5"/>
        <v>10000</v>
      </c>
      <c r="M51" s="323">
        <f t="shared" si="6"/>
        <v>0</v>
      </c>
      <c r="P51" s="326">
        <v>150000</v>
      </c>
      <c r="S51" s="327">
        <f t="shared" si="7"/>
        <v>150000</v>
      </c>
      <c r="U51" s="323">
        <v>158772.42874999999</v>
      </c>
      <c r="V51" s="321">
        <f>C51+D51+J51+M51+S51+T51-U51+G51</f>
        <v>1227.5712500000081</v>
      </c>
      <c r="W51" s="321">
        <f>D51+G51+J51+M51+S51+T51-U51</f>
        <v>1227.5712500000081</v>
      </c>
    </row>
    <row r="52" spans="1:23" s="322" customFormat="1">
      <c r="A52" s="342" t="s">
        <v>272</v>
      </c>
      <c r="B52" s="342"/>
      <c r="C52" s="343">
        <f t="shared" ref="C52:W52" si="13">SUBTOTAL(9,C53:C57)</f>
        <v>0</v>
      </c>
      <c r="D52" s="343">
        <f t="shared" si="13"/>
        <v>1112887</v>
      </c>
      <c r="E52" s="343">
        <f t="shared" si="13"/>
        <v>0</v>
      </c>
      <c r="F52" s="343">
        <f t="shared" si="13"/>
        <v>1112887</v>
      </c>
      <c r="G52" s="343">
        <f t="shared" si="13"/>
        <v>-1500000</v>
      </c>
      <c r="H52" s="343">
        <f t="shared" si="13"/>
        <v>0</v>
      </c>
      <c r="I52" s="343">
        <f t="shared" si="13"/>
        <v>3100000</v>
      </c>
      <c r="J52" s="343">
        <f t="shared" si="13"/>
        <v>3100000</v>
      </c>
      <c r="K52" s="343">
        <f t="shared" si="13"/>
        <v>0</v>
      </c>
      <c r="L52" s="343">
        <f t="shared" si="13"/>
        <v>0</v>
      </c>
      <c r="M52" s="343">
        <f t="shared" si="13"/>
        <v>0</v>
      </c>
      <c r="N52" s="343">
        <f t="shared" si="13"/>
        <v>0</v>
      </c>
      <c r="O52" s="343">
        <f t="shared" si="13"/>
        <v>0</v>
      </c>
      <c r="P52" s="343">
        <f t="shared" si="13"/>
        <v>0</v>
      </c>
      <c r="Q52" s="343">
        <f t="shared" si="13"/>
        <v>0</v>
      </c>
      <c r="R52" s="343">
        <f t="shared" si="13"/>
        <v>0</v>
      </c>
      <c r="S52" s="343">
        <f t="shared" si="13"/>
        <v>0</v>
      </c>
      <c r="T52" s="343">
        <f t="shared" si="13"/>
        <v>127056</v>
      </c>
      <c r="U52" s="343">
        <f t="shared" si="13"/>
        <v>10083440.5375</v>
      </c>
      <c r="V52" s="343">
        <f t="shared" si="13"/>
        <v>-7243497.5374999996</v>
      </c>
      <c r="W52" s="343">
        <f t="shared" si="13"/>
        <v>-7243497.5374999996</v>
      </c>
    </row>
    <row r="53" spans="1:23">
      <c r="B53" s="322" t="s">
        <v>126</v>
      </c>
      <c r="D53" s="323">
        <f>SUM(E53:F53)</f>
        <v>757787</v>
      </c>
      <c r="F53" s="321">
        <v>757787</v>
      </c>
      <c r="J53" s="323">
        <f t="shared" si="5"/>
        <v>0</v>
      </c>
      <c r="M53" s="323">
        <f t="shared" si="6"/>
        <v>0</v>
      </c>
      <c r="S53" s="327">
        <f t="shared" si="7"/>
        <v>0</v>
      </c>
      <c r="T53" s="323">
        <v>127056</v>
      </c>
      <c r="U53" s="321">
        <v>883117.36250000005</v>
      </c>
      <c r="V53" s="321">
        <f>C53+D53+J53+M53+S53+T53-U53+G53</f>
        <v>1725.6374999999534</v>
      </c>
      <c r="W53" s="321">
        <f>D53+G53+J53+M53+S53+T53-U53</f>
        <v>1725.6374999999534</v>
      </c>
    </row>
    <row r="54" spans="1:23">
      <c r="B54" s="322" t="s">
        <v>127</v>
      </c>
      <c r="D54" s="323">
        <f>SUM(E54:F54)</f>
        <v>0</v>
      </c>
      <c r="G54" s="323">
        <v>-1500000</v>
      </c>
      <c r="I54" s="321">
        <v>2830000</v>
      </c>
      <c r="J54" s="323">
        <f t="shared" si="5"/>
        <v>2830000</v>
      </c>
      <c r="M54" s="323">
        <f t="shared" si="6"/>
        <v>0</v>
      </c>
      <c r="S54" s="327">
        <f t="shared" si="7"/>
        <v>0</v>
      </c>
      <c r="U54" s="321">
        <v>8404757.4749999996</v>
      </c>
      <c r="V54" s="321">
        <f>C54+D54+J54+M54+S54+T54-U54+G54</f>
        <v>-7074757.4749999996</v>
      </c>
      <c r="W54" s="321">
        <f>D54+G54+J54+M54+S54+T54-U54</f>
        <v>-7074757.4749999996</v>
      </c>
    </row>
    <row r="55" spans="1:23" ht="36.75" customHeight="1">
      <c r="B55" s="322" t="s">
        <v>216</v>
      </c>
      <c r="D55" s="323">
        <f>SUM(E55:F55)</f>
        <v>355100</v>
      </c>
      <c r="F55" s="321">
        <v>355100</v>
      </c>
      <c r="J55" s="323">
        <f t="shared" ref="J55" si="14">SUM(H55:I55)</f>
        <v>0</v>
      </c>
      <c r="M55" s="323">
        <f t="shared" ref="M55" si="15">SUM(K55:L55)</f>
        <v>0</v>
      </c>
      <c r="S55" s="327">
        <f t="shared" ref="S55" si="16">SUM(N55:R55)</f>
        <v>0</v>
      </c>
      <c r="U55" s="321">
        <v>355087</v>
      </c>
      <c r="V55" s="321">
        <f>C55+D55+J55+M55+S55+T55-U55+G55</f>
        <v>13</v>
      </c>
      <c r="W55" s="321">
        <f>D55+G55+J55+M55+S55+T55-U55</f>
        <v>13</v>
      </c>
    </row>
    <row r="56" spans="1:23">
      <c r="B56" s="322" t="s">
        <v>123</v>
      </c>
      <c r="D56" s="323">
        <f>SUM(E56:F56)</f>
        <v>0</v>
      </c>
      <c r="I56" s="321">
        <v>270000</v>
      </c>
      <c r="J56" s="323">
        <f>SUM(H56:I56)</f>
        <v>270000</v>
      </c>
      <c r="M56" s="323">
        <f>SUM(K56:L56)</f>
        <v>0</v>
      </c>
      <c r="S56" s="327">
        <f>SUM(N56:R56)</f>
        <v>0</v>
      </c>
      <c r="U56" s="321">
        <v>440478.7</v>
      </c>
      <c r="V56" s="321">
        <f>C56+D56+J56+M56+S56+T56-U56+G56</f>
        <v>-170478.7</v>
      </c>
      <c r="W56" s="321">
        <f>D56+G56+J56+M56+S56+T56-U56</f>
        <v>-170478.7</v>
      </c>
    </row>
    <row r="57" spans="1:23">
      <c r="B57" s="322" t="s">
        <v>218</v>
      </c>
      <c r="D57" s="323">
        <f>SUM(E57:F57)</f>
        <v>0</v>
      </c>
      <c r="J57" s="323">
        <f t="shared" si="5"/>
        <v>0</v>
      </c>
      <c r="M57" s="323">
        <f t="shared" si="6"/>
        <v>0</v>
      </c>
      <c r="S57" s="327">
        <f t="shared" si="7"/>
        <v>0</v>
      </c>
      <c r="V57" s="321">
        <f>C57+D57+J57+M57+S57+T57-U57+G57</f>
        <v>0</v>
      </c>
      <c r="W57" s="321">
        <f>D57+G57+J57+M57+S57+T57-U57</f>
        <v>0</v>
      </c>
    </row>
    <row r="58" spans="1:23" s="322" customFormat="1">
      <c r="A58" s="342" t="s">
        <v>273</v>
      </c>
      <c r="B58" s="342"/>
      <c r="C58" s="343">
        <f>SUBTOTAL(9,C59:C61)</f>
        <v>23884353</v>
      </c>
      <c r="D58" s="343">
        <f t="shared" ref="D58:W58" si="17">SUBTOTAL(9,D59:D61)</f>
        <v>13572482</v>
      </c>
      <c r="E58" s="343">
        <f t="shared" si="17"/>
        <v>3750399</v>
      </c>
      <c r="F58" s="343">
        <f t="shared" si="17"/>
        <v>9822083</v>
      </c>
      <c r="G58" s="343">
        <f t="shared" si="17"/>
        <v>600000</v>
      </c>
      <c r="H58" s="343">
        <f t="shared" si="17"/>
        <v>0</v>
      </c>
      <c r="I58" s="343">
        <f t="shared" si="17"/>
        <v>517500</v>
      </c>
      <c r="J58" s="343">
        <f t="shared" si="17"/>
        <v>517500</v>
      </c>
      <c r="K58" s="343">
        <f t="shared" si="17"/>
        <v>0</v>
      </c>
      <c r="L58" s="343">
        <f t="shared" si="17"/>
        <v>0</v>
      </c>
      <c r="M58" s="343">
        <f t="shared" si="17"/>
        <v>0</v>
      </c>
      <c r="N58" s="343">
        <f t="shared" si="17"/>
        <v>0</v>
      </c>
      <c r="O58" s="343">
        <f t="shared" si="17"/>
        <v>0</v>
      </c>
      <c r="P58" s="343">
        <f t="shared" si="17"/>
        <v>3345000</v>
      </c>
      <c r="Q58" s="343">
        <f t="shared" si="17"/>
        <v>0</v>
      </c>
      <c r="R58" s="343">
        <f t="shared" si="17"/>
        <v>0</v>
      </c>
      <c r="S58" s="343">
        <f t="shared" si="17"/>
        <v>3345000</v>
      </c>
      <c r="T58" s="343">
        <f t="shared" si="17"/>
        <v>330987</v>
      </c>
      <c r="U58" s="343">
        <f t="shared" si="17"/>
        <v>21406909.767999999</v>
      </c>
      <c r="V58" s="343">
        <f t="shared" si="17"/>
        <v>20843412.232000001</v>
      </c>
      <c r="W58" s="343">
        <f t="shared" si="17"/>
        <v>-3040940.7679999974</v>
      </c>
    </row>
    <row r="59" spans="1:23">
      <c r="B59" s="322" t="s">
        <v>113</v>
      </c>
      <c r="D59" s="323">
        <f>SUM(E59:F59)</f>
        <v>152871</v>
      </c>
      <c r="E59" s="321">
        <v>152871</v>
      </c>
      <c r="H59" s="321">
        <v>0</v>
      </c>
      <c r="J59" s="323">
        <f>SUM(H59:I59)</f>
        <v>0</v>
      </c>
      <c r="M59" s="323">
        <f>SUM(K59:L59)</f>
        <v>0</v>
      </c>
      <c r="P59" s="326">
        <v>3345000</v>
      </c>
      <c r="S59" s="327">
        <f>SUM(N59:R59)</f>
        <v>3345000</v>
      </c>
      <c r="U59" s="321">
        <v>3499108.1919999998</v>
      </c>
      <c r="V59" s="321">
        <f>C59+D59+J59+M59+S59+T59-U59+G59</f>
        <v>-1237.1919999998063</v>
      </c>
      <c r="W59" s="321">
        <f>D59+G59+J59+M59+S59+T59-U59</f>
        <v>-1237.1919999998063</v>
      </c>
    </row>
    <row r="60" spans="1:23">
      <c r="B60" s="322" t="s">
        <v>274</v>
      </c>
      <c r="D60" s="323">
        <f>SUM(E60:F60)</f>
        <v>9822083</v>
      </c>
      <c r="F60" s="321">
        <v>9822083</v>
      </c>
      <c r="G60" s="323">
        <v>600000</v>
      </c>
      <c r="H60" s="321">
        <v>0</v>
      </c>
      <c r="I60" s="321">
        <v>517500</v>
      </c>
      <c r="J60" s="323">
        <f>SUM(H60:I60)</f>
        <v>517500</v>
      </c>
      <c r="M60" s="323">
        <f>SUM(K60:L60)</f>
        <v>0</v>
      </c>
      <c r="S60" s="327">
        <f>SUM(N60:R60)</f>
        <v>0</v>
      </c>
      <c r="U60" s="323">
        <v>17907801.575999998</v>
      </c>
      <c r="V60" s="321">
        <f>C60+D60+J60+M60+S60+T60-U60+G60</f>
        <v>-6968218.5759999976</v>
      </c>
      <c r="W60" s="321">
        <f>D60+G60+J60+M60+S60+T60-U60</f>
        <v>-6968218.5759999976</v>
      </c>
    </row>
    <row r="61" spans="1:23" ht="37.5">
      <c r="B61" s="322" t="s">
        <v>165</v>
      </c>
      <c r="C61" s="321">
        <f>'2021'!BB162</f>
        <v>23884353</v>
      </c>
      <c r="D61" s="323">
        <f>SUM(E61:F61)</f>
        <v>3597528</v>
      </c>
      <c r="E61" s="321">
        <v>3597528</v>
      </c>
      <c r="H61" s="321">
        <v>0</v>
      </c>
      <c r="J61" s="323">
        <f t="shared" si="5"/>
        <v>0</v>
      </c>
      <c r="M61" s="323">
        <f t="shared" si="6"/>
        <v>0</v>
      </c>
      <c r="S61" s="327">
        <f t="shared" si="7"/>
        <v>0</v>
      </c>
      <c r="T61" s="323">
        <v>330987</v>
      </c>
      <c r="V61" s="321">
        <f>C61+D61+J61+M61+S61+T61-U61+G61</f>
        <v>27812868</v>
      </c>
      <c r="W61" s="321">
        <f>D61+G61+J61+M61+S61+T61-U61</f>
        <v>3928515</v>
      </c>
    </row>
  </sheetData>
  <autoFilter ref="A1:Y6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workbookViewId="0">
      <selection activeCell="B38" sqref="B38"/>
    </sheetView>
  </sheetViews>
  <sheetFormatPr defaultRowHeight="18.75"/>
  <cols>
    <col min="1" max="1" width="5.140625" style="218" bestFit="1" customWidth="1"/>
    <col min="2" max="2" width="97.42578125" style="217" bestFit="1" customWidth="1"/>
    <col min="3" max="3" width="17.28515625" style="219" customWidth="1"/>
    <col min="4" max="4" width="14.7109375" style="220" customWidth="1"/>
    <col min="5" max="5" width="12" style="220" customWidth="1"/>
    <col min="6" max="6" width="14.5703125" style="220" bestFit="1" customWidth="1"/>
    <col min="7" max="10" width="12.5703125" style="220" customWidth="1"/>
    <col min="11" max="11" width="11" style="220" customWidth="1"/>
    <col min="12" max="14" width="8.7109375" style="220" customWidth="1"/>
    <col min="15" max="15" width="8.85546875" style="220" bestFit="1" customWidth="1"/>
    <col min="16" max="16" width="13.42578125" style="220" bestFit="1" customWidth="1"/>
    <col min="17" max="19" width="14.5703125" style="220" customWidth="1"/>
    <col min="20" max="253" width="9.140625" style="217"/>
    <col min="254" max="254" width="5.140625" style="217" bestFit="1" customWidth="1"/>
    <col min="255" max="255" width="45.5703125" style="217" customWidth="1"/>
    <col min="256" max="256" width="17.28515625" style="217" customWidth="1"/>
    <col min="257" max="257" width="14.7109375" style="217" bestFit="1" customWidth="1"/>
    <col min="258" max="258" width="12" style="217" bestFit="1" customWidth="1"/>
    <col min="259" max="259" width="14.5703125" style="217" bestFit="1" customWidth="1"/>
    <col min="260" max="263" width="12.5703125" style="217" customWidth="1"/>
    <col min="264" max="264" width="11" style="217" customWidth="1"/>
    <col min="265" max="267" width="8.7109375" style="217" customWidth="1"/>
    <col min="268" max="268" width="8.85546875" style="217" bestFit="1" customWidth="1"/>
    <col min="269" max="269" width="13.42578125" style="217" bestFit="1" customWidth="1"/>
    <col min="270" max="272" width="14.5703125" style="217" customWidth="1"/>
    <col min="273" max="273" width="9.140625" style="217"/>
    <col min="274" max="274" width="14.5703125" style="217" customWidth="1"/>
    <col min="275" max="509" width="9.140625" style="217"/>
    <col min="510" max="510" width="5.140625" style="217" bestFit="1" customWidth="1"/>
    <col min="511" max="511" width="45.5703125" style="217" customWidth="1"/>
    <col min="512" max="512" width="17.28515625" style="217" customWidth="1"/>
    <col min="513" max="513" width="14.7109375" style="217" bestFit="1" customWidth="1"/>
    <col min="514" max="514" width="12" style="217" bestFit="1" customWidth="1"/>
    <col min="515" max="515" width="14.5703125" style="217" bestFit="1" customWidth="1"/>
    <col min="516" max="519" width="12.5703125" style="217" customWidth="1"/>
    <col min="520" max="520" width="11" style="217" customWidth="1"/>
    <col min="521" max="523" width="8.7109375" style="217" customWidth="1"/>
    <col min="524" max="524" width="8.85546875" style="217" bestFit="1" customWidth="1"/>
    <col min="525" max="525" width="13.42578125" style="217" bestFit="1" customWidth="1"/>
    <col min="526" max="528" width="14.5703125" style="217" customWidth="1"/>
    <col min="529" max="529" width="9.140625" style="217"/>
    <col min="530" max="530" width="14.5703125" style="217" customWidth="1"/>
    <col min="531" max="765" width="9.140625" style="217"/>
    <col min="766" max="766" width="5.140625" style="217" bestFit="1" customWidth="1"/>
    <col min="767" max="767" width="45.5703125" style="217" customWidth="1"/>
    <col min="768" max="768" width="17.28515625" style="217" customWidth="1"/>
    <col min="769" max="769" width="14.7109375" style="217" bestFit="1" customWidth="1"/>
    <col min="770" max="770" width="12" style="217" bestFit="1" customWidth="1"/>
    <col min="771" max="771" width="14.5703125" style="217" bestFit="1" customWidth="1"/>
    <col min="772" max="775" width="12.5703125" style="217" customWidth="1"/>
    <col min="776" max="776" width="11" style="217" customWidth="1"/>
    <col min="777" max="779" width="8.7109375" style="217" customWidth="1"/>
    <col min="780" max="780" width="8.85546875" style="217" bestFit="1" customWidth="1"/>
    <col min="781" max="781" width="13.42578125" style="217" bestFit="1" customWidth="1"/>
    <col min="782" max="784" width="14.5703125" style="217" customWidth="1"/>
    <col min="785" max="785" width="9.140625" style="217"/>
    <col min="786" max="786" width="14.5703125" style="217" customWidth="1"/>
    <col min="787" max="1021" width="9.140625" style="217"/>
    <col min="1022" max="1022" width="5.140625" style="217" bestFit="1" customWidth="1"/>
    <col min="1023" max="1023" width="45.5703125" style="217" customWidth="1"/>
    <col min="1024" max="1024" width="17.28515625" style="217" customWidth="1"/>
    <col min="1025" max="1025" width="14.7109375" style="217" bestFit="1" customWidth="1"/>
    <col min="1026" max="1026" width="12" style="217" bestFit="1" customWidth="1"/>
    <col min="1027" max="1027" width="14.5703125" style="217" bestFit="1" customWidth="1"/>
    <col min="1028" max="1031" width="12.5703125" style="217" customWidth="1"/>
    <col min="1032" max="1032" width="11" style="217" customWidth="1"/>
    <col min="1033" max="1035" width="8.7109375" style="217" customWidth="1"/>
    <col min="1036" max="1036" width="8.85546875" style="217" bestFit="1" customWidth="1"/>
    <col min="1037" max="1037" width="13.42578125" style="217" bestFit="1" customWidth="1"/>
    <col min="1038" max="1040" width="14.5703125" style="217" customWidth="1"/>
    <col min="1041" max="1041" width="9.140625" style="217"/>
    <col min="1042" max="1042" width="14.5703125" style="217" customWidth="1"/>
    <col min="1043" max="1277" width="9.140625" style="217"/>
    <col min="1278" max="1278" width="5.140625" style="217" bestFit="1" customWidth="1"/>
    <col min="1279" max="1279" width="45.5703125" style="217" customWidth="1"/>
    <col min="1280" max="1280" width="17.28515625" style="217" customWidth="1"/>
    <col min="1281" max="1281" width="14.7109375" style="217" bestFit="1" customWidth="1"/>
    <col min="1282" max="1282" width="12" style="217" bestFit="1" customWidth="1"/>
    <col min="1283" max="1283" width="14.5703125" style="217" bestFit="1" customWidth="1"/>
    <col min="1284" max="1287" width="12.5703125" style="217" customWidth="1"/>
    <col min="1288" max="1288" width="11" style="217" customWidth="1"/>
    <col min="1289" max="1291" width="8.7109375" style="217" customWidth="1"/>
    <col min="1292" max="1292" width="8.85546875" style="217" bestFit="1" customWidth="1"/>
    <col min="1293" max="1293" width="13.42578125" style="217" bestFit="1" customWidth="1"/>
    <col min="1294" max="1296" width="14.5703125" style="217" customWidth="1"/>
    <col min="1297" max="1297" width="9.140625" style="217"/>
    <col min="1298" max="1298" width="14.5703125" style="217" customWidth="1"/>
    <col min="1299" max="1533" width="9.140625" style="217"/>
    <col min="1534" max="1534" width="5.140625" style="217" bestFit="1" customWidth="1"/>
    <col min="1535" max="1535" width="45.5703125" style="217" customWidth="1"/>
    <col min="1536" max="1536" width="17.28515625" style="217" customWidth="1"/>
    <col min="1537" max="1537" width="14.7109375" style="217" bestFit="1" customWidth="1"/>
    <col min="1538" max="1538" width="12" style="217" bestFit="1" customWidth="1"/>
    <col min="1539" max="1539" width="14.5703125" style="217" bestFit="1" customWidth="1"/>
    <col min="1540" max="1543" width="12.5703125" style="217" customWidth="1"/>
    <col min="1544" max="1544" width="11" style="217" customWidth="1"/>
    <col min="1545" max="1547" width="8.7109375" style="217" customWidth="1"/>
    <col min="1548" max="1548" width="8.85546875" style="217" bestFit="1" customWidth="1"/>
    <col min="1549" max="1549" width="13.42578125" style="217" bestFit="1" customWidth="1"/>
    <col min="1550" max="1552" width="14.5703125" style="217" customWidth="1"/>
    <col min="1553" max="1553" width="9.140625" style="217"/>
    <col min="1554" max="1554" width="14.5703125" style="217" customWidth="1"/>
    <col min="1555" max="1789" width="9.140625" style="217"/>
    <col min="1790" max="1790" width="5.140625" style="217" bestFit="1" customWidth="1"/>
    <col min="1791" max="1791" width="45.5703125" style="217" customWidth="1"/>
    <col min="1792" max="1792" width="17.28515625" style="217" customWidth="1"/>
    <col min="1793" max="1793" width="14.7109375" style="217" bestFit="1" customWidth="1"/>
    <col min="1794" max="1794" width="12" style="217" bestFit="1" customWidth="1"/>
    <col min="1795" max="1795" width="14.5703125" style="217" bestFit="1" customWidth="1"/>
    <col min="1796" max="1799" width="12.5703125" style="217" customWidth="1"/>
    <col min="1800" max="1800" width="11" style="217" customWidth="1"/>
    <col min="1801" max="1803" width="8.7109375" style="217" customWidth="1"/>
    <col min="1804" max="1804" width="8.85546875" style="217" bestFit="1" customWidth="1"/>
    <col min="1805" max="1805" width="13.42578125" style="217" bestFit="1" customWidth="1"/>
    <col min="1806" max="1808" width="14.5703125" style="217" customWidth="1"/>
    <col min="1809" max="1809" width="9.140625" style="217"/>
    <col min="1810" max="1810" width="14.5703125" style="217" customWidth="1"/>
    <col min="1811" max="2045" width="9.140625" style="217"/>
    <col min="2046" max="2046" width="5.140625" style="217" bestFit="1" customWidth="1"/>
    <col min="2047" max="2047" width="45.5703125" style="217" customWidth="1"/>
    <col min="2048" max="2048" width="17.28515625" style="217" customWidth="1"/>
    <col min="2049" max="2049" width="14.7109375" style="217" bestFit="1" customWidth="1"/>
    <col min="2050" max="2050" width="12" style="217" bestFit="1" customWidth="1"/>
    <col min="2051" max="2051" width="14.5703125" style="217" bestFit="1" customWidth="1"/>
    <col min="2052" max="2055" width="12.5703125" style="217" customWidth="1"/>
    <col min="2056" max="2056" width="11" style="217" customWidth="1"/>
    <col min="2057" max="2059" width="8.7109375" style="217" customWidth="1"/>
    <col min="2060" max="2060" width="8.85546875" style="217" bestFit="1" customWidth="1"/>
    <col min="2061" max="2061" width="13.42578125" style="217" bestFit="1" customWidth="1"/>
    <col min="2062" max="2064" width="14.5703125" style="217" customWidth="1"/>
    <col min="2065" max="2065" width="9.140625" style="217"/>
    <col min="2066" max="2066" width="14.5703125" style="217" customWidth="1"/>
    <col min="2067" max="2301" width="9.140625" style="217"/>
    <col min="2302" max="2302" width="5.140625" style="217" bestFit="1" customWidth="1"/>
    <col min="2303" max="2303" width="45.5703125" style="217" customWidth="1"/>
    <col min="2304" max="2304" width="17.28515625" style="217" customWidth="1"/>
    <col min="2305" max="2305" width="14.7109375" style="217" bestFit="1" customWidth="1"/>
    <col min="2306" max="2306" width="12" style="217" bestFit="1" customWidth="1"/>
    <col min="2307" max="2307" width="14.5703125" style="217" bestFit="1" customWidth="1"/>
    <col min="2308" max="2311" width="12.5703125" style="217" customWidth="1"/>
    <col min="2312" max="2312" width="11" style="217" customWidth="1"/>
    <col min="2313" max="2315" width="8.7109375" style="217" customWidth="1"/>
    <col min="2316" max="2316" width="8.85546875" style="217" bestFit="1" customWidth="1"/>
    <col min="2317" max="2317" width="13.42578125" style="217" bestFit="1" customWidth="1"/>
    <col min="2318" max="2320" width="14.5703125" style="217" customWidth="1"/>
    <col min="2321" max="2321" width="9.140625" style="217"/>
    <col min="2322" max="2322" width="14.5703125" style="217" customWidth="1"/>
    <col min="2323" max="2557" width="9.140625" style="217"/>
    <col min="2558" max="2558" width="5.140625" style="217" bestFit="1" customWidth="1"/>
    <col min="2559" max="2559" width="45.5703125" style="217" customWidth="1"/>
    <col min="2560" max="2560" width="17.28515625" style="217" customWidth="1"/>
    <col min="2561" max="2561" width="14.7109375" style="217" bestFit="1" customWidth="1"/>
    <col min="2562" max="2562" width="12" style="217" bestFit="1" customWidth="1"/>
    <col min="2563" max="2563" width="14.5703125" style="217" bestFit="1" customWidth="1"/>
    <col min="2564" max="2567" width="12.5703125" style="217" customWidth="1"/>
    <col min="2568" max="2568" width="11" style="217" customWidth="1"/>
    <col min="2569" max="2571" width="8.7109375" style="217" customWidth="1"/>
    <col min="2572" max="2572" width="8.85546875" style="217" bestFit="1" customWidth="1"/>
    <col min="2573" max="2573" width="13.42578125" style="217" bestFit="1" customWidth="1"/>
    <col min="2574" max="2576" width="14.5703125" style="217" customWidth="1"/>
    <col min="2577" max="2577" width="9.140625" style="217"/>
    <col min="2578" max="2578" width="14.5703125" style="217" customWidth="1"/>
    <col min="2579" max="2813" width="9.140625" style="217"/>
    <col min="2814" max="2814" width="5.140625" style="217" bestFit="1" customWidth="1"/>
    <col min="2815" max="2815" width="45.5703125" style="217" customWidth="1"/>
    <col min="2816" max="2816" width="17.28515625" style="217" customWidth="1"/>
    <col min="2817" max="2817" width="14.7109375" style="217" bestFit="1" customWidth="1"/>
    <col min="2818" max="2818" width="12" style="217" bestFit="1" customWidth="1"/>
    <col min="2819" max="2819" width="14.5703125" style="217" bestFit="1" customWidth="1"/>
    <col min="2820" max="2823" width="12.5703125" style="217" customWidth="1"/>
    <col min="2824" max="2824" width="11" style="217" customWidth="1"/>
    <col min="2825" max="2827" width="8.7109375" style="217" customWidth="1"/>
    <col min="2828" max="2828" width="8.85546875" style="217" bestFit="1" customWidth="1"/>
    <col min="2829" max="2829" width="13.42578125" style="217" bestFit="1" customWidth="1"/>
    <col min="2830" max="2832" width="14.5703125" style="217" customWidth="1"/>
    <col min="2833" max="2833" width="9.140625" style="217"/>
    <col min="2834" max="2834" width="14.5703125" style="217" customWidth="1"/>
    <col min="2835" max="3069" width="9.140625" style="217"/>
    <col min="3070" max="3070" width="5.140625" style="217" bestFit="1" customWidth="1"/>
    <col min="3071" max="3071" width="45.5703125" style="217" customWidth="1"/>
    <col min="3072" max="3072" width="17.28515625" style="217" customWidth="1"/>
    <col min="3073" max="3073" width="14.7109375" style="217" bestFit="1" customWidth="1"/>
    <col min="3074" max="3074" width="12" style="217" bestFit="1" customWidth="1"/>
    <col min="3075" max="3075" width="14.5703125" style="217" bestFit="1" customWidth="1"/>
    <col min="3076" max="3079" width="12.5703125" style="217" customWidth="1"/>
    <col min="3080" max="3080" width="11" style="217" customWidth="1"/>
    <col min="3081" max="3083" width="8.7109375" style="217" customWidth="1"/>
    <col min="3084" max="3084" width="8.85546875" style="217" bestFit="1" customWidth="1"/>
    <col min="3085" max="3085" width="13.42578125" style="217" bestFit="1" customWidth="1"/>
    <col min="3086" max="3088" width="14.5703125" style="217" customWidth="1"/>
    <col min="3089" max="3089" width="9.140625" style="217"/>
    <col min="3090" max="3090" width="14.5703125" style="217" customWidth="1"/>
    <col min="3091" max="3325" width="9.140625" style="217"/>
    <col min="3326" max="3326" width="5.140625" style="217" bestFit="1" customWidth="1"/>
    <col min="3327" max="3327" width="45.5703125" style="217" customWidth="1"/>
    <col min="3328" max="3328" width="17.28515625" style="217" customWidth="1"/>
    <col min="3329" max="3329" width="14.7109375" style="217" bestFit="1" customWidth="1"/>
    <col min="3330" max="3330" width="12" style="217" bestFit="1" customWidth="1"/>
    <col min="3331" max="3331" width="14.5703125" style="217" bestFit="1" customWidth="1"/>
    <col min="3332" max="3335" width="12.5703125" style="217" customWidth="1"/>
    <col min="3336" max="3336" width="11" style="217" customWidth="1"/>
    <col min="3337" max="3339" width="8.7109375" style="217" customWidth="1"/>
    <col min="3340" max="3340" width="8.85546875" style="217" bestFit="1" customWidth="1"/>
    <col min="3341" max="3341" width="13.42578125" style="217" bestFit="1" customWidth="1"/>
    <col min="3342" max="3344" width="14.5703125" style="217" customWidth="1"/>
    <col min="3345" max="3345" width="9.140625" style="217"/>
    <col min="3346" max="3346" width="14.5703125" style="217" customWidth="1"/>
    <col min="3347" max="3581" width="9.140625" style="217"/>
    <col min="3582" max="3582" width="5.140625" style="217" bestFit="1" customWidth="1"/>
    <col min="3583" max="3583" width="45.5703125" style="217" customWidth="1"/>
    <col min="3584" max="3584" width="17.28515625" style="217" customWidth="1"/>
    <col min="3585" max="3585" width="14.7109375" style="217" bestFit="1" customWidth="1"/>
    <col min="3586" max="3586" width="12" style="217" bestFit="1" customWidth="1"/>
    <col min="3587" max="3587" width="14.5703125" style="217" bestFit="1" customWidth="1"/>
    <col min="3588" max="3591" width="12.5703125" style="217" customWidth="1"/>
    <col min="3592" max="3592" width="11" style="217" customWidth="1"/>
    <col min="3593" max="3595" width="8.7109375" style="217" customWidth="1"/>
    <col min="3596" max="3596" width="8.85546875" style="217" bestFit="1" customWidth="1"/>
    <col min="3597" max="3597" width="13.42578125" style="217" bestFit="1" customWidth="1"/>
    <col min="3598" max="3600" width="14.5703125" style="217" customWidth="1"/>
    <col min="3601" max="3601" width="9.140625" style="217"/>
    <col min="3602" max="3602" width="14.5703125" style="217" customWidth="1"/>
    <col min="3603" max="3837" width="9.140625" style="217"/>
    <col min="3838" max="3838" width="5.140625" style="217" bestFit="1" customWidth="1"/>
    <col min="3839" max="3839" width="45.5703125" style="217" customWidth="1"/>
    <col min="3840" max="3840" width="17.28515625" style="217" customWidth="1"/>
    <col min="3841" max="3841" width="14.7109375" style="217" bestFit="1" customWidth="1"/>
    <col min="3842" max="3842" width="12" style="217" bestFit="1" customWidth="1"/>
    <col min="3843" max="3843" width="14.5703125" style="217" bestFit="1" customWidth="1"/>
    <col min="3844" max="3847" width="12.5703125" style="217" customWidth="1"/>
    <col min="3848" max="3848" width="11" style="217" customWidth="1"/>
    <col min="3849" max="3851" width="8.7109375" style="217" customWidth="1"/>
    <col min="3852" max="3852" width="8.85546875" style="217" bestFit="1" customWidth="1"/>
    <col min="3853" max="3853" width="13.42578125" style="217" bestFit="1" customWidth="1"/>
    <col min="3854" max="3856" width="14.5703125" style="217" customWidth="1"/>
    <col min="3857" max="3857" width="9.140625" style="217"/>
    <col min="3858" max="3858" width="14.5703125" style="217" customWidth="1"/>
    <col min="3859" max="4093" width="9.140625" style="217"/>
    <col min="4094" max="4094" width="5.140625" style="217" bestFit="1" customWidth="1"/>
    <col min="4095" max="4095" width="45.5703125" style="217" customWidth="1"/>
    <col min="4096" max="4096" width="17.28515625" style="217" customWidth="1"/>
    <col min="4097" max="4097" width="14.7109375" style="217" bestFit="1" customWidth="1"/>
    <col min="4098" max="4098" width="12" style="217" bestFit="1" customWidth="1"/>
    <col min="4099" max="4099" width="14.5703125" style="217" bestFit="1" customWidth="1"/>
    <col min="4100" max="4103" width="12.5703125" style="217" customWidth="1"/>
    <col min="4104" max="4104" width="11" style="217" customWidth="1"/>
    <col min="4105" max="4107" width="8.7109375" style="217" customWidth="1"/>
    <col min="4108" max="4108" width="8.85546875" style="217" bestFit="1" customWidth="1"/>
    <col min="4109" max="4109" width="13.42578125" style="217" bestFit="1" customWidth="1"/>
    <col min="4110" max="4112" width="14.5703125" style="217" customWidth="1"/>
    <col min="4113" max="4113" width="9.140625" style="217"/>
    <col min="4114" max="4114" width="14.5703125" style="217" customWidth="1"/>
    <col min="4115" max="4349" width="9.140625" style="217"/>
    <col min="4350" max="4350" width="5.140625" style="217" bestFit="1" customWidth="1"/>
    <col min="4351" max="4351" width="45.5703125" style="217" customWidth="1"/>
    <col min="4352" max="4352" width="17.28515625" style="217" customWidth="1"/>
    <col min="4353" max="4353" width="14.7109375" style="217" bestFit="1" customWidth="1"/>
    <col min="4354" max="4354" width="12" style="217" bestFit="1" customWidth="1"/>
    <col min="4355" max="4355" width="14.5703125" style="217" bestFit="1" customWidth="1"/>
    <col min="4356" max="4359" width="12.5703125" style="217" customWidth="1"/>
    <col min="4360" max="4360" width="11" style="217" customWidth="1"/>
    <col min="4361" max="4363" width="8.7109375" style="217" customWidth="1"/>
    <col min="4364" max="4364" width="8.85546875" style="217" bestFit="1" customWidth="1"/>
    <col min="4365" max="4365" width="13.42578125" style="217" bestFit="1" customWidth="1"/>
    <col min="4366" max="4368" width="14.5703125" style="217" customWidth="1"/>
    <col min="4369" max="4369" width="9.140625" style="217"/>
    <col min="4370" max="4370" width="14.5703125" style="217" customWidth="1"/>
    <col min="4371" max="4605" width="9.140625" style="217"/>
    <col min="4606" max="4606" width="5.140625" style="217" bestFit="1" customWidth="1"/>
    <col min="4607" max="4607" width="45.5703125" style="217" customWidth="1"/>
    <col min="4608" max="4608" width="17.28515625" style="217" customWidth="1"/>
    <col min="4609" max="4609" width="14.7109375" style="217" bestFit="1" customWidth="1"/>
    <col min="4610" max="4610" width="12" style="217" bestFit="1" customWidth="1"/>
    <col min="4611" max="4611" width="14.5703125" style="217" bestFit="1" customWidth="1"/>
    <col min="4612" max="4615" width="12.5703125" style="217" customWidth="1"/>
    <col min="4616" max="4616" width="11" style="217" customWidth="1"/>
    <col min="4617" max="4619" width="8.7109375" style="217" customWidth="1"/>
    <col min="4620" max="4620" width="8.85546875" style="217" bestFit="1" customWidth="1"/>
    <col min="4621" max="4621" width="13.42578125" style="217" bestFit="1" customWidth="1"/>
    <col min="4622" max="4624" width="14.5703125" style="217" customWidth="1"/>
    <col min="4625" max="4625" width="9.140625" style="217"/>
    <col min="4626" max="4626" width="14.5703125" style="217" customWidth="1"/>
    <col min="4627" max="4861" width="9.140625" style="217"/>
    <col min="4862" max="4862" width="5.140625" style="217" bestFit="1" customWidth="1"/>
    <col min="4863" max="4863" width="45.5703125" style="217" customWidth="1"/>
    <col min="4864" max="4864" width="17.28515625" style="217" customWidth="1"/>
    <col min="4865" max="4865" width="14.7109375" style="217" bestFit="1" customWidth="1"/>
    <col min="4866" max="4866" width="12" style="217" bestFit="1" customWidth="1"/>
    <col min="4867" max="4867" width="14.5703125" style="217" bestFit="1" customWidth="1"/>
    <col min="4868" max="4871" width="12.5703125" style="217" customWidth="1"/>
    <col min="4872" max="4872" width="11" style="217" customWidth="1"/>
    <col min="4873" max="4875" width="8.7109375" style="217" customWidth="1"/>
    <col min="4876" max="4876" width="8.85546875" style="217" bestFit="1" customWidth="1"/>
    <col min="4877" max="4877" width="13.42578125" style="217" bestFit="1" customWidth="1"/>
    <col min="4878" max="4880" width="14.5703125" style="217" customWidth="1"/>
    <col min="4881" max="4881" width="9.140625" style="217"/>
    <col min="4882" max="4882" width="14.5703125" style="217" customWidth="1"/>
    <col min="4883" max="5117" width="9.140625" style="217"/>
    <col min="5118" max="5118" width="5.140625" style="217" bestFit="1" customWidth="1"/>
    <col min="5119" max="5119" width="45.5703125" style="217" customWidth="1"/>
    <col min="5120" max="5120" width="17.28515625" style="217" customWidth="1"/>
    <col min="5121" max="5121" width="14.7109375" style="217" bestFit="1" customWidth="1"/>
    <col min="5122" max="5122" width="12" style="217" bestFit="1" customWidth="1"/>
    <col min="5123" max="5123" width="14.5703125" style="217" bestFit="1" customWidth="1"/>
    <col min="5124" max="5127" width="12.5703125" style="217" customWidth="1"/>
    <col min="5128" max="5128" width="11" style="217" customWidth="1"/>
    <col min="5129" max="5131" width="8.7109375" style="217" customWidth="1"/>
    <col min="5132" max="5132" width="8.85546875" style="217" bestFit="1" customWidth="1"/>
    <col min="5133" max="5133" width="13.42578125" style="217" bestFit="1" customWidth="1"/>
    <col min="5134" max="5136" width="14.5703125" style="217" customWidth="1"/>
    <col min="5137" max="5137" width="9.140625" style="217"/>
    <col min="5138" max="5138" width="14.5703125" style="217" customWidth="1"/>
    <col min="5139" max="5373" width="9.140625" style="217"/>
    <col min="5374" max="5374" width="5.140625" style="217" bestFit="1" customWidth="1"/>
    <col min="5375" max="5375" width="45.5703125" style="217" customWidth="1"/>
    <col min="5376" max="5376" width="17.28515625" style="217" customWidth="1"/>
    <col min="5377" max="5377" width="14.7109375" style="217" bestFit="1" customWidth="1"/>
    <col min="5378" max="5378" width="12" style="217" bestFit="1" customWidth="1"/>
    <col min="5379" max="5379" width="14.5703125" style="217" bestFit="1" customWidth="1"/>
    <col min="5380" max="5383" width="12.5703125" style="217" customWidth="1"/>
    <col min="5384" max="5384" width="11" style="217" customWidth="1"/>
    <col min="5385" max="5387" width="8.7109375" style="217" customWidth="1"/>
    <col min="5388" max="5388" width="8.85546875" style="217" bestFit="1" customWidth="1"/>
    <col min="5389" max="5389" width="13.42578125" style="217" bestFit="1" customWidth="1"/>
    <col min="5390" max="5392" width="14.5703125" style="217" customWidth="1"/>
    <col min="5393" max="5393" width="9.140625" style="217"/>
    <col min="5394" max="5394" width="14.5703125" style="217" customWidth="1"/>
    <col min="5395" max="5629" width="9.140625" style="217"/>
    <col min="5630" max="5630" width="5.140625" style="217" bestFit="1" customWidth="1"/>
    <col min="5631" max="5631" width="45.5703125" style="217" customWidth="1"/>
    <col min="5632" max="5632" width="17.28515625" style="217" customWidth="1"/>
    <col min="5633" max="5633" width="14.7109375" style="217" bestFit="1" customWidth="1"/>
    <col min="5634" max="5634" width="12" style="217" bestFit="1" customWidth="1"/>
    <col min="5635" max="5635" width="14.5703125" style="217" bestFit="1" customWidth="1"/>
    <col min="5636" max="5639" width="12.5703125" style="217" customWidth="1"/>
    <col min="5640" max="5640" width="11" style="217" customWidth="1"/>
    <col min="5641" max="5643" width="8.7109375" style="217" customWidth="1"/>
    <col min="5644" max="5644" width="8.85546875" style="217" bestFit="1" customWidth="1"/>
    <col min="5645" max="5645" width="13.42578125" style="217" bestFit="1" customWidth="1"/>
    <col min="5646" max="5648" width="14.5703125" style="217" customWidth="1"/>
    <col min="5649" max="5649" width="9.140625" style="217"/>
    <col min="5650" max="5650" width="14.5703125" style="217" customWidth="1"/>
    <col min="5651" max="5885" width="9.140625" style="217"/>
    <col min="5886" max="5886" width="5.140625" style="217" bestFit="1" customWidth="1"/>
    <col min="5887" max="5887" width="45.5703125" style="217" customWidth="1"/>
    <col min="5888" max="5888" width="17.28515625" style="217" customWidth="1"/>
    <col min="5889" max="5889" width="14.7109375" style="217" bestFit="1" customWidth="1"/>
    <col min="5890" max="5890" width="12" style="217" bestFit="1" customWidth="1"/>
    <col min="5891" max="5891" width="14.5703125" style="217" bestFit="1" customWidth="1"/>
    <col min="5892" max="5895" width="12.5703125" style="217" customWidth="1"/>
    <col min="5896" max="5896" width="11" style="217" customWidth="1"/>
    <col min="5897" max="5899" width="8.7109375" style="217" customWidth="1"/>
    <col min="5900" max="5900" width="8.85546875" style="217" bestFit="1" customWidth="1"/>
    <col min="5901" max="5901" width="13.42578125" style="217" bestFit="1" customWidth="1"/>
    <col min="5902" max="5904" width="14.5703125" style="217" customWidth="1"/>
    <col min="5905" max="5905" width="9.140625" style="217"/>
    <col min="5906" max="5906" width="14.5703125" style="217" customWidth="1"/>
    <col min="5907" max="6141" width="9.140625" style="217"/>
    <col min="6142" max="6142" width="5.140625" style="217" bestFit="1" customWidth="1"/>
    <col min="6143" max="6143" width="45.5703125" style="217" customWidth="1"/>
    <col min="6144" max="6144" width="17.28515625" style="217" customWidth="1"/>
    <col min="6145" max="6145" width="14.7109375" style="217" bestFit="1" customWidth="1"/>
    <col min="6146" max="6146" width="12" style="217" bestFit="1" customWidth="1"/>
    <col min="6147" max="6147" width="14.5703125" style="217" bestFit="1" customWidth="1"/>
    <col min="6148" max="6151" width="12.5703125" style="217" customWidth="1"/>
    <col min="6152" max="6152" width="11" style="217" customWidth="1"/>
    <col min="6153" max="6155" width="8.7109375" style="217" customWidth="1"/>
    <col min="6156" max="6156" width="8.85546875" style="217" bestFit="1" customWidth="1"/>
    <col min="6157" max="6157" width="13.42578125" style="217" bestFit="1" customWidth="1"/>
    <col min="6158" max="6160" width="14.5703125" style="217" customWidth="1"/>
    <col min="6161" max="6161" width="9.140625" style="217"/>
    <col min="6162" max="6162" width="14.5703125" style="217" customWidth="1"/>
    <col min="6163" max="6397" width="9.140625" style="217"/>
    <col min="6398" max="6398" width="5.140625" style="217" bestFit="1" customWidth="1"/>
    <col min="6399" max="6399" width="45.5703125" style="217" customWidth="1"/>
    <col min="6400" max="6400" width="17.28515625" style="217" customWidth="1"/>
    <col min="6401" max="6401" width="14.7109375" style="217" bestFit="1" customWidth="1"/>
    <col min="6402" max="6402" width="12" style="217" bestFit="1" customWidth="1"/>
    <col min="6403" max="6403" width="14.5703125" style="217" bestFit="1" customWidth="1"/>
    <col min="6404" max="6407" width="12.5703125" style="217" customWidth="1"/>
    <col min="6408" max="6408" width="11" style="217" customWidth="1"/>
    <col min="6409" max="6411" width="8.7109375" style="217" customWidth="1"/>
    <col min="6412" max="6412" width="8.85546875" style="217" bestFit="1" customWidth="1"/>
    <col min="6413" max="6413" width="13.42578125" style="217" bestFit="1" customWidth="1"/>
    <col min="6414" max="6416" width="14.5703125" style="217" customWidth="1"/>
    <col min="6417" max="6417" width="9.140625" style="217"/>
    <col min="6418" max="6418" width="14.5703125" style="217" customWidth="1"/>
    <col min="6419" max="6653" width="9.140625" style="217"/>
    <col min="6654" max="6654" width="5.140625" style="217" bestFit="1" customWidth="1"/>
    <col min="6655" max="6655" width="45.5703125" style="217" customWidth="1"/>
    <col min="6656" max="6656" width="17.28515625" style="217" customWidth="1"/>
    <col min="6657" max="6657" width="14.7109375" style="217" bestFit="1" customWidth="1"/>
    <col min="6658" max="6658" width="12" style="217" bestFit="1" customWidth="1"/>
    <col min="6659" max="6659" width="14.5703125" style="217" bestFit="1" customWidth="1"/>
    <col min="6660" max="6663" width="12.5703125" style="217" customWidth="1"/>
    <col min="6664" max="6664" width="11" style="217" customWidth="1"/>
    <col min="6665" max="6667" width="8.7109375" style="217" customWidth="1"/>
    <col min="6668" max="6668" width="8.85546875" style="217" bestFit="1" customWidth="1"/>
    <col min="6669" max="6669" width="13.42578125" style="217" bestFit="1" customWidth="1"/>
    <col min="6670" max="6672" width="14.5703125" style="217" customWidth="1"/>
    <col min="6673" max="6673" width="9.140625" style="217"/>
    <col min="6674" max="6674" width="14.5703125" style="217" customWidth="1"/>
    <col min="6675" max="6909" width="9.140625" style="217"/>
    <col min="6910" max="6910" width="5.140625" style="217" bestFit="1" customWidth="1"/>
    <col min="6911" max="6911" width="45.5703125" style="217" customWidth="1"/>
    <col min="6912" max="6912" width="17.28515625" style="217" customWidth="1"/>
    <col min="6913" max="6913" width="14.7109375" style="217" bestFit="1" customWidth="1"/>
    <col min="6914" max="6914" width="12" style="217" bestFit="1" customWidth="1"/>
    <col min="6915" max="6915" width="14.5703125" style="217" bestFit="1" customWidth="1"/>
    <col min="6916" max="6919" width="12.5703125" style="217" customWidth="1"/>
    <col min="6920" max="6920" width="11" style="217" customWidth="1"/>
    <col min="6921" max="6923" width="8.7109375" style="217" customWidth="1"/>
    <col min="6924" max="6924" width="8.85546875" style="217" bestFit="1" customWidth="1"/>
    <col min="6925" max="6925" width="13.42578125" style="217" bestFit="1" customWidth="1"/>
    <col min="6926" max="6928" width="14.5703125" style="217" customWidth="1"/>
    <col min="6929" max="6929" width="9.140625" style="217"/>
    <col min="6930" max="6930" width="14.5703125" style="217" customWidth="1"/>
    <col min="6931" max="7165" width="9.140625" style="217"/>
    <col min="7166" max="7166" width="5.140625" style="217" bestFit="1" customWidth="1"/>
    <col min="7167" max="7167" width="45.5703125" style="217" customWidth="1"/>
    <col min="7168" max="7168" width="17.28515625" style="217" customWidth="1"/>
    <col min="7169" max="7169" width="14.7109375" style="217" bestFit="1" customWidth="1"/>
    <col min="7170" max="7170" width="12" style="217" bestFit="1" customWidth="1"/>
    <col min="7171" max="7171" width="14.5703125" style="217" bestFit="1" customWidth="1"/>
    <col min="7172" max="7175" width="12.5703125" style="217" customWidth="1"/>
    <col min="7176" max="7176" width="11" style="217" customWidth="1"/>
    <col min="7177" max="7179" width="8.7109375" style="217" customWidth="1"/>
    <col min="7180" max="7180" width="8.85546875" style="217" bestFit="1" customWidth="1"/>
    <col min="7181" max="7181" width="13.42578125" style="217" bestFit="1" customWidth="1"/>
    <col min="7182" max="7184" width="14.5703125" style="217" customWidth="1"/>
    <col min="7185" max="7185" width="9.140625" style="217"/>
    <col min="7186" max="7186" width="14.5703125" style="217" customWidth="1"/>
    <col min="7187" max="7421" width="9.140625" style="217"/>
    <col min="7422" max="7422" width="5.140625" style="217" bestFit="1" customWidth="1"/>
    <col min="7423" max="7423" width="45.5703125" style="217" customWidth="1"/>
    <col min="7424" max="7424" width="17.28515625" style="217" customWidth="1"/>
    <col min="7425" max="7425" width="14.7109375" style="217" bestFit="1" customWidth="1"/>
    <col min="7426" max="7426" width="12" style="217" bestFit="1" customWidth="1"/>
    <col min="7427" max="7427" width="14.5703125" style="217" bestFit="1" customWidth="1"/>
    <col min="7428" max="7431" width="12.5703125" style="217" customWidth="1"/>
    <col min="7432" max="7432" width="11" style="217" customWidth="1"/>
    <col min="7433" max="7435" width="8.7109375" style="217" customWidth="1"/>
    <col min="7436" max="7436" width="8.85546875" style="217" bestFit="1" customWidth="1"/>
    <col min="7437" max="7437" width="13.42578125" style="217" bestFit="1" customWidth="1"/>
    <col min="7438" max="7440" width="14.5703125" style="217" customWidth="1"/>
    <col min="7441" max="7441" width="9.140625" style="217"/>
    <col min="7442" max="7442" width="14.5703125" style="217" customWidth="1"/>
    <col min="7443" max="7677" width="9.140625" style="217"/>
    <col min="7678" max="7678" width="5.140625" style="217" bestFit="1" customWidth="1"/>
    <col min="7679" max="7679" width="45.5703125" style="217" customWidth="1"/>
    <col min="7680" max="7680" width="17.28515625" style="217" customWidth="1"/>
    <col min="7681" max="7681" width="14.7109375" style="217" bestFit="1" customWidth="1"/>
    <col min="7682" max="7682" width="12" style="217" bestFit="1" customWidth="1"/>
    <col min="7683" max="7683" width="14.5703125" style="217" bestFit="1" customWidth="1"/>
    <col min="7684" max="7687" width="12.5703125" style="217" customWidth="1"/>
    <col min="7688" max="7688" width="11" style="217" customWidth="1"/>
    <col min="7689" max="7691" width="8.7109375" style="217" customWidth="1"/>
    <col min="7692" max="7692" width="8.85546875" style="217" bestFit="1" customWidth="1"/>
    <col min="7693" max="7693" width="13.42578125" style="217" bestFit="1" customWidth="1"/>
    <col min="7694" max="7696" width="14.5703125" style="217" customWidth="1"/>
    <col min="7697" max="7697" width="9.140625" style="217"/>
    <col min="7698" max="7698" width="14.5703125" style="217" customWidth="1"/>
    <col min="7699" max="7933" width="9.140625" style="217"/>
    <col min="7934" max="7934" width="5.140625" style="217" bestFit="1" customWidth="1"/>
    <col min="7935" max="7935" width="45.5703125" style="217" customWidth="1"/>
    <col min="7936" max="7936" width="17.28515625" style="217" customWidth="1"/>
    <col min="7937" max="7937" width="14.7109375" style="217" bestFit="1" customWidth="1"/>
    <col min="7938" max="7938" width="12" style="217" bestFit="1" customWidth="1"/>
    <col min="7939" max="7939" width="14.5703125" style="217" bestFit="1" customWidth="1"/>
    <col min="7940" max="7943" width="12.5703125" style="217" customWidth="1"/>
    <col min="7944" max="7944" width="11" style="217" customWidth="1"/>
    <col min="7945" max="7947" width="8.7109375" style="217" customWidth="1"/>
    <col min="7948" max="7948" width="8.85546875" style="217" bestFit="1" customWidth="1"/>
    <col min="7949" max="7949" width="13.42578125" style="217" bestFit="1" customWidth="1"/>
    <col min="7950" max="7952" width="14.5703125" style="217" customWidth="1"/>
    <col min="7953" max="7953" width="9.140625" style="217"/>
    <col min="7954" max="7954" width="14.5703125" style="217" customWidth="1"/>
    <col min="7955" max="8189" width="9.140625" style="217"/>
    <col min="8190" max="8190" width="5.140625" style="217" bestFit="1" customWidth="1"/>
    <col min="8191" max="8191" width="45.5703125" style="217" customWidth="1"/>
    <col min="8192" max="8192" width="17.28515625" style="217" customWidth="1"/>
    <col min="8193" max="8193" width="14.7109375" style="217" bestFit="1" customWidth="1"/>
    <col min="8194" max="8194" width="12" style="217" bestFit="1" customWidth="1"/>
    <col min="8195" max="8195" width="14.5703125" style="217" bestFit="1" customWidth="1"/>
    <col min="8196" max="8199" width="12.5703125" style="217" customWidth="1"/>
    <col min="8200" max="8200" width="11" style="217" customWidth="1"/>
    <col min="8201" max="8203" width="8.7109375" style="217" customWidth="1"/>
    <col min="8204" max="8204" width="8.85546875" style="217" bestFit="1" customWidth="1"/>
    <col min="8205" max="8205" width="13.42578125" style="217" bestFit="1" customWidth="1"/>
    <col min="8206" max="8208" width="14.5703125" style="217" customWidth="1"/>
    <col min="8209" max="8209" width="9.140625" style="217"/>
    <col min="8210" max="8210" width="14.5703125" style="217" customWidth="1"/>
    <col min="8211" max="8445" width="9.140625" style="217"/>
    <col min="8446" max="8446" width="5.140625" style="217" bestFit="1" customWidth="1"/>
    <col min="8447" max="8447" width="45.5703125" style="217" customWidth="1"/>
    <col min="8448" max="8448" width="17.28515625" style="217" customWidth="1"/>
    <col min="8449" max="8449" width="14.7109375" style="217" bestFit="1" customWidth="1"/>
    <col min="8450" max="8450" width="12" style="217" bestFit="1" customWidth="1"/>
    <col min="8451" max="8451" width="14.5703125" style="217" bestFit="1" customWidth="1"/>
    <col min="8452" max="8455" width="12.5703125" style="217" customWidth="1"/>
    <col min="8456" max="8456" width="11" style="217" customWidth="1"/>
    <col min="8457" max="8459" width="8.7109375" style="217" customWidth="1"/>
    <col min="8460" max="8460" width="8.85546875" style="217" bestFit="1" customWidth="1"/>
    <col min="8461" max="8461" width="13.42578125" style="217" bestFit="1" customWidth="1"/>
    <col min="8462" max="8464" width="14.5703125" style="217" customWidth="1"/>
    <col min="8465" max="8465" width="9.140625" style="217"/>
    <col min="8466" max="8466" width="14.5703125" style="217" customWidth="1"/>
    <col min="8467" max="8701" width="9.140625" style="217"/>
    <col min="8702" max="8702" width="5.140625" style="217" bestFit="1" customWidth="1"/>
    <col min="8703" max="8703" width="45.5703125" style="217" customWidth="1"/>
    <col min="8704" max="8704" width="17.28515625" style="217" customWidth="1"/>
    <col min="8705" max="8705" width="14.7109375" style="217" bestFit="1" customWidth="1"/>
    <col min="8706" max="8706" width="12" style="217" bestFit="1" customWidth="1"/>
    <col min="8707" max="8707" width="14.5703125" style="217" bestFit="1" customWidth="1"/>
    <col min="8708" max="8711" width="12.5703125" style="217" customWidth="1"/>
    <col min="8712" max="8712" width="11" style="217" customWidth="1"/>
    <col min="8713" max="8715" width="8.7109375" style="217" customWidth="1"/>
    <col min="8716" max="8716" width="8.85546875" style="217" bestFit="1" customWidth="1"/>
    <col min="8717" max="8717" width="13.42578125" style="217" bestFit="1" customWidth="1"/>
    <col min="8718" max="8720" width="14.5703125" style="217" customWidth="1"/>
    <col min="8721" max="8721" width="9.140625" style="217"/>
    <col min="8722" max="8722" width="14.5703125" style="217" customWidth="1"/>
    <col min="8723" max="8957" width="9.140625" style="217"/>
    <col min="8958" max="8958" width="5.140625" style="217" bestFit="1" customWidth="1"/>
    <col min="8959" max="8959" width="45.5703125" style="217" customWidth="1"/>
    <col min="8960" max="8960" width="17.28515625" style="217" customWidth="1"/>
    <col min="8961" max="8961" width="14.7109375" style="217" bestFit="1" customWidth="1"/>
    <col min="8962" max="8962" width="12" style="217" bestFit="1" customWidth="1"/>
    <col min="8963" max="8963" width="14.5703125" style="217" bestFit="1" customWidth="1"/>
    <col min="8964" max="8967" width="12.5703125" style="217" customWidth="1"/>
    <col min="8968" max="8968" width="11" style="217" customWidth="1"/>
    <col min="8969" max="8971" width="8.7109375" style="217" customWidth="1"/>
    <col min="8972" max="8972" width="8.85546875" style="217" bestFit="1" customWidth="1"/>
    <col min="8973" max="8973" width="13.42578125" style="217" bestFit="1" customWidth="1"/>
    <col min="8974" max="8976" width="14.5703125" style="217" customWidth="1"/>
    <col min="8977" max="8977" width="9.140625" style="217"/>
    <col min="8978" max="8978" width="14.5703125" style="217" customWidth="1"/>
    <col min="8979" max="9213" width="9.140625" style="217"/>
    <col min="9214" max="9214" width="5.140625" style="217" bestFit="1" customWidth="1"/>
    <col min="9215" max="9215" width="45.5703125" style="217" customWidth="1"/>
    <col min="9216" max="9216" width="17.28515625" style="217" customWidth="1"/>
    <col min="9217" max="9217" width="14.7109375" style="217" bestFit="1" customWidth="1"/>
    <col min="9218" max="9218" width="12" style="217" bestFit="1" customWidth="1"/>
    <col min="9219" max="9219" width="14.5703125" style="217" bestFit="1" customWidth="1"/>
    <col min="9220" max="9223" width="12.5703125" style="217" customWidth="1"/>
    <col min="9224" max="9224" width="11" style="217" customWidth="1"/>
    <col min="9225" max="9227" width="8.7109375" style="217" customWidth="1"/>
    <col min="9228" max="9228" width="8.85546875" style="217" bestFit="1" customWidth="1"/>
    <col min="9229" max="9229" width="13.42578125" style="217" bestFit="1" customWidth="1"/>
    <col min="9230" max="9232" width="14.5703125" style="217" customWidth="1"/>
    <col min="9233" max="9233" width="9.140625" style="217"/>
    <col min="9234" max="9234" width="14.5703125" style="217" customWidth="1"/>
    <col min="9235" max="9469" width="9.140625" style="217"/>
    <col min="9470" max="9470" width="5.140625" style="217" bestFit="1" customWidth="1"/>
    <col min="9471" max="9471" width="45.5703125" style="217" customWidth="1"/>
    <col min="9472" max="9472" width="17.28515625" style="217" customWidth="1"/>
    <col min="9473" max="9473" width="14.7109375" style="217" bestFit="1" customWidth="1"/>
    <col min="9474" max="9474" width="12" style="217" bestFit="1" customWidth="1"/>
    <col min="9475" max="9475" width="14.5703125" style="217" bestFit="1" customWidth="1"/>
    <col min="9476" max="9479" width="12.5703125" style="217" customWidth="1"/>
    <col min="9480" max="9480" width="11" style="217" customWidth="1"/>
    <col min="9481" max="9483" width="8.7109375" style="217" customWidth="1"/>
    <col min="9484" max="9484" width="8.85546875" style="217" bestFit="1" customWidth="1"/>
    <col min="9485" max="9485" width="13.42578125" style="217" bestFit="1" customWidth="1"/>
    <col min="9486" max="9488" width="14.5703125" style="217" customWidth="1"/>
    <col min="9489" max="9489" width="9.140625" style="217"/>
    <col min="9490" max="9490" width="14.5703125" style="217" customWidth="1"/>
    <col min="9491" max="9725" width="9.140625" style="217"/>
    <col min="9726" max="9726" width="5.140625" style="217" bestFit="1" customWidth="1"/>
    <col min="9727" max="9727" width="45.5703125" style="217" customWidth="1"/>
    <col min="9728" max="9728" width="17.28515625" style="217" customWidth="1"/>
    <col min="9729" max="9729" width="14.7109375" style="217" bestFit="1" customWidth="1"/>
    <col min="9730" max="9730" width="12" style="217" bestFit="1" customWidth="1"/>
    <col min="9731" max="9731" width="14.5703125" style="217" bestFit="1" customWidth="1"/>
    <col min="9732" max="9735" width="12.5703125" style="217" customWidth="1"/>
    <col min="9736" max="9736" width="11" style="217" customWidth="1"/>
    <col min="9737" max="9739" width="8.7109375" style="217" customWidth="1"/>
    <col min="9740" max="9740" width="8.85546875" style="217" bestFit="1" customWidth="1"/>
    <col min="9741" max="9741" width="13.42578125" style="217" bestFit="1" customWidth="1"/>
    <col min="9742" max="9744" width="14.5703125" style="217" customWidth="1"/>
    <col min="9745" max="9745" width="9.140625" style="217"/>
    <col min="9746" max="9746" width="14.5703125" style="217" customWidth="1"/>
    <col min="9747" max="9981" width="9.140625" style="217"/>
    <col min="9982" max="9982" width="5.140625" style="217" bestFit="1" customWidth="1"/>
    <col min="9983" max="9983" width="45.5703125" style="217" customWidth="1"/>
    <col min="9984" max="9984" width="17.28515625" style="217" customWidth="1"/>
    <col min="9985" max="9985" width="14.7109375" style="217" bestFit="1" customWidth="1"/>
    <col min="9986" max="9986" width="12" style="217" bestFit="1" customWidth="1"/>
    <col min="9987" max="9987" width="14.5703125" style="217" bestFit="1" customWidth="1"/>
    <col min="9988" max="9991" width="12.5703125" style="217" customWidth="1"/>
    <col min="9992" max="9992" width="11" style="217" customWidth="1"/>
    <col min="9993" max="9995" width="8.7109375" style="217" customWidth="1"/>
    <col min="9996" max="9996" width="8.85546875" style="217" bestFit="1" customWidth="1"/>
    <col min="9997" max="9997" width="13.42578125" style="217" bestFit="1" customWidth="1"/>
    <col min="9998" max="10000" width="14.5703125" style="217" customWidth="1"/>
    <col min="10001" max="10001" width="9.140625" style="217"/>
    <col min="10002" max="10002" width="14.5703125" style="217" customWidth="1"/>
    <col min="10003" max="10237" width="9.140625" style="217"/>
    <col min="10238" max="10238" width="5.140625" style="217" bestFit="1" customWidth="1"/>
    <col min="10239" max="10239" width="45.5703125" style="217" customWidth="1"/>
    <col min="10240" max="10240" width="17.28515625" style="217" customWidth="1"/>
    <col min="10241" max="10241" width="14.7109375" style="217" bestFit="1" customWidth="1"/>
    <col min="10242" max="10242" width="12" style="217" bestFit="1" customWidth="1"/>
    <col min="10243" max="10243" width="14.5703125" style="217" bestFit="1" customWidth="1"/>
    <col min="10244" max="10247" width="12.5703125" style="217" customWidth="1"/>
    <col min="10248" max="10248" width="11" style="217" customWidth="1"/>
    <col min="10249" max="10251" width="8.7109375" style="217" customWidth="1"/>
    <col min="10252" max="10252" width="8.85546875" style="217" bestFit="1" customWidth="1"/>
    <col min="10253" max="10253" width="13.42578125" style="217" bestFit="1" customWidth="1"/>
    <col min="10254" max="10256" width="14.5703125" style="217" customWidth="1"/>
    <col min="10257" max="10257" width="9.140625" style="217"/>
    <col min="10258" max="10258" width="14.5703125" style="217" customWidth="1"/>
    <col min="10259" max="10493" width="9.140625" style="217"/>
    <col min="10494" max="10494" width="5.140625" style="217" bestFit="1" customWidth="1"/>
    <col min="10495" max="10495" width="45.5703125" style="217" customWidth="1"/>
    <col min="10496" max="10496" width="17.28515625" style="217" customWidth="1"/>
    <col min="10497" max="10497" width="14.7109375" style="217" bestFit="1" customWidth="1"/>
    <col min="10498" max="10498" width="12" style="217" bestFit="1" customWidth="1"/>
    <col min="10499" max="10499" width="14.5703125" style="217" bestFit="1" customWidth="1"/>
    <col min="10500" max="10503" width="12.5703125" style="217" customWidth="1"/>
    <col min="10504" max="10504" width="11" style="217" customWidth="1"/>
    <col min="10505" max="10507" width="8.7109375" style="217" customWidth="1"/>
    <col min="10508" max="10508" width="8.85546875" style="217" bestFit="1" customWidth="1"/>
    <col min="10509" max="10509" width="13.42578125" style="217" bestFit="1" customWidth="1"/>
    <col min="10510" max="10512" width="14.5703125" style="217" customWidth="1"/>
    <col min="10513" max="10513" width="9.140625" style="217"/>
    <col min="10514" max="10514" width="14.5703125" style="217" customWidth="1"/>
    <col min="10515" max="10749" width="9.140625" style="217"/>
    <col min="10750" max="10750" width="5.140625" style="217" bestFit="1" customWidth="1"/>
    <col min="10751" max="10751" width="45.5703125" style="217" customWidth="1"/>
    <col min="10752" max="10752" width="17.28515625" style="217" customWidth="1"/>
    <col min="10753" max="10753" width="14.7109375" style="217" bestFit="1" customWidth="1"/>
    <col min="10754" max="10754" width="12" style="217" bestFit="1" customWidth="1"/>
    <col min="10755" max="10755" width="14.5703125" style="217" bestFit="1" customWidth="1"/>
    <col min="10756" max="10759" width="12.5703125" style="217" customWidth="1"/>
    <col min="10760" max="10760" width="11" style="217" customWidth="1"/>
    <col min="10761" max="10763" width="8.7109375" style="217" customWidth="1"/>
    <col min="10764" max="10764" width="8.85546875" style="217" bestFit="1" customWidth="1"/>
    <col min="10765" max="10765" width="13.42578125" style="217" bestFit="1" customWidth="1"/>
    <col min="10766" max="10768" width="14.5703125" style="217" customWidth="1"/>
    <col min="10769" max="10769" width="9.140625" style="217"/>
    <col min="10770" max="10770" width="14.5703125" style="217" customWidth="1"/>
    <col min="10771" max="11005" width="9.140625" style="217"/>
    <col min="11006" max="11006" width="5.140625" style="217" bestFit="1" customWidth="1"/>
    <col min="11007" max="11007" width="45.5703125" style="217" customWidth="1"/>
    <col min="11008" max="11008" width="17.28515625" style="217" customWidth="1"/>
    <col min="11009" max="11009" width="14.7109375" style="217" bestFit="1" customWidth="1"/>
    <col min="11010" max="11010" width="12" style="217" bestFit="1" customWidth="1"/>
    <col min="11011" max="11011" width="14.5703125" style="217" bestFit="1" customWidth="1"/>
    <col min="11012" max="11015" width="12.5703125" style="217" customWidth="1"/>
    <col min="11016" max="11016" width="11" style="217" customWidth="1"/>
    <col min="11017" max="11019" width="8.7109375" style="217" customWidth="1"/>
    <col min="11020" max="11020" width="8.85546875" style="217" bestFit="1" customWidth="1"/>
    <col min="11021" max="11021" width="13.42578125" style="217" bestFit="1" customWidth="1"/>
    <col min="11022" max="11024" width="14.5703125" style="217" customWidth="1"/>
    <col min="11025" max="11025" width="9.140625" style="217"/>
    <col min="11026" max="11026" width="14.5703125" style="217" customWidth="1"/>
    <col min="11027" max="11261" width="9.140625" style="217"/>
    <col min="11262" max="11262" width="5.140625" style="217" bestFit="1" customWidth="1"/>
    <col min="11263" max="11263" width="45.5703125" style="217" customWidth="1"/>
    <col min="11264" max="11264" width="17.28515625" style="217" customWidth="1"/>
    <col min="11265" max="11265" width="14.7109375" style="217" bestFit="1" customWidth="1"/>
    <col min="11266" max="11266" width="12" style="217" bestFit="1" customWidth="1"/>
    <col min="11267" max="11267" width="14.5703125" style="217" bestFit="1" customWidth="1"/>
    <col min="11268" max="11271" width="12.5703125" style="217" customWidth="1"/>
    <col min="11272" max="11272" width="11" style="217" customWidth="1"/>
    <col min="11273" max="11275" width="8.7109375" style="217" customWidth="1"/>
    <col min="11276" max="11276" width="8.85546875" style="217" bestFit="1" customWidth="1"/>
    <col min="11277" max="11277" width="13.42578125" style="217" bestFit="1" customWidth="1"/>
    <col min="11278" max="11280" width="14.5703125" style="217" customWidth="1"/>
    <col min="11281" max="11281" width="9.140625" style="217"/>
    <col min="11282" max="11282" width="14.5703125" style="217" customWidth="1"/>
    <col min="11283" max="11517" width="9.140625" style="217"/>
    <col min="11518" max="11518" width="5.140625" style="217" bestFit="1" customWidth="1"/>
    <col min="11519" max="11519" width="45.5703125" style="217" customWidth="1"/>
    <col min="11520" max="11520" width="17.28515625" style="217" customWidth="1"/>
    <col min="11521" max="11521" width="14.7109375" style="217" bestFit="1" customWidth="1"/>
    <col min="11522" max="11522" width="12" style="217" bestFit="1" customWidth="1"/>
    <col min="11523" max="11523" width="14.5703125" style="217" bestFit="1" customWidth="1"/>
    <col min="11524" max="11527" width="12.5703125" style="217" customWidth="1"/>
    <col min="11528" max="11528" width="11" style="217" customWidth="1"/>
    <col min="11529" max="11531" width="8.7109375" style="217" customWidth="1"/>
    <col min="11532" max="11532" width="8.85546875" style="217" bestFit="1" customWidth="1"/>
    <col min="11533" max="11533" width="13.42578125" style="217" bestFit="1" customWidth="1"/>
    <col min="11534" max="11536" width="14.5703125" style="217" customWidth="1"/>
    <col min="11537" max="11537" width="9.140625" style="217"/>
    <col min="11538" max="11538" width="14.5703125" style="217" customWidth="1"/>
    <col min="11539" max="11773" width="9.140625" style="217"/>
    <col min="11774" max="11774" width="5.140625" style="217" bestFit="1" customWidth="1"/>
    <col min="11775" max="11775" width="45.5703125" style="217" customWidth="1"/>
    <col min="11776" max="11776" width="17.28515625" style="217" customWidth="1"/>
    <col min="11777" max="11777" width="14.7109375" style="217" bestFit="1" customWidth="1"/>
    <col min="11778" max="11778" width="12" style="217" bestFit="1" customWidth="1"/>
    <col min="11779" max="11779" width="14.5703125" style="217" bestFit="1" customWidth="1"/>
    <col min="11780" max="11783" width="12.5703125" style="217" customWidth="1"/>
    <col min="11784" max="11784" width="11" style="217" customWidth="1"/>
    <col min="11785" max="11787" width="8.7109375" style="217" customWidth="1"/>
    <col min="11788" max="11788" width="8.85546875" style="217" bestFit="1" customWidth="1"/>
    <col min="11789" max="11789" width="13.42578125" style="217" bestFit="1" customWidth="1"/>
    <col min="11790" max="11792" width="14.5703125" style="217" customWidth="1"/>
    <col min="11793" max="11793" width="9.140625" style="217"/>
    <col min="11794" max="11794" width="14.5703125" style="217" customWidth="1"/>
    <col min="11795" max="12029" width="9.140625" style="217"/>
    <col min="12030" max="12030" width="5.140625" style="217" bestFit="1" customWidth="1"/>
    <col min="12031" max="12031" width="45.5703125" style="217" customWidth="1"/>
    <col min="12032" max="12032" width="17.28515625" style="217" customWidth="1"/>
    <col min="12033" max="12033" width="14.7109375" style="217" bestFit="1" customWidth="1"/>
    <col min="12034" max="12034" width="12" style="217" bestFit="1" customWidth="1"/>
    <col min="12035" max="12035" width="14.5703125" style="217" bestFit="1" customWidth="1"/>
    <col min="12036" max="12039" width="12.5703125" style="217" customWidth="1"/>
    <col min="12040" max="12040" width="11" style="217" customWidth="1"/>
    <col min="12041" max="12043" width="8.7109375" style="217" customWidth="1"/>
    <col min="12044" max="12044" width="8.85546875" style="217" bestFit="1" customWidth="1"/>
    <col min="12045" max="12045" width="13.42578125" style="217" bestFit="1" customWidth="1"/>
    <col min="12046" max="12048" width="14.5703125" style="217" customWidth="1"/>
    <col min="12049" max="12049" width="9.140625" style="217"/>
    <col min="12050" max="12050" width="14.5703125" style="217" customWidth="1"/>
    <col min="12051" max="12285" width="9.140625" style="217"/>
    <col min="12286" max="12286" width="5.140625" style="217" bestFit="1" customWidth="1"/>
    <col min="12287" max="12287" width="45.5703125" style="217" customWidth="1"/>
    <col min="12288" max="12288" width="17.28515625" style="217" customWidth="1"/>
    <col min="12289" max="12289" width="14.7109375" style="217" bestFit="1" customWidth="1"/>
    <col min="12290" max="12290" width="12" style="217" bestFit="1" customWidth="1"/>
    <col min="12291" max="12291" width="14.5703125" style="217" bestFit="1" customWidth="1"/>
    <col min="12292" max="12295" width="12.5703125" style="217" customWidth="1"/>
    <col min="12296" max="12296" width="11" style="217" customWidth="1"/>
    <col min="12297" max="12299" width="8.7109375" style="217" customWidth="1"/>
    <col min="12300" max="12300" width="8.85546875" style="217" bestFit="1" customWidth="1"/>
    <col min="12301" max="12301" width="13.42578125" style="217" bestFit="1" customWidth="1"/>
    <col min="12302" max="12304" width="14.5703125" style="217" customWidth="1"/>
    <col min="12305" max="12305" width="9.140625" style="217"/>
    <col min="12306" max="12306" width="14.5703125" style="217" customWidth="1"/>
    <col min="12307" max="12541" width="9.140625" style="217"/>
    <col min="12542" max="12542" width="5.140625" style="217" bestFit="1" customWidth="1"/>
    <col min="12543" max="12543" width="45.5703125" style="217" customWidth="1"/>
    <col min="12544" max="12544" width="17.28515625" style="217" customWidth="1"/>
    <col min="12545" max="12545" width="14.7109375" style="217" bestFit="1" customWidth="1"/>
    <col min="12546" max="12546" width="12" style="217" bestFit="1" customWidth="1"/>
    <col min="12547" max="12547" width="14.5703125" style="217" bestFit="1" customWidth="1"/>
    <col min="12548" max="12551" width="12.5703125" style="217" customWidth="1"/>
    <col min="12552" max="12552" width="11" style="217" customWidth="1"/>
    <col min="12553" max="12555" width="8.7109375" style="217" customWidth="1"/>
    <col min="12556" max="12556" width="8.85546875" style="217" bestFit="1" customWidth="1"/>
    <col min="12557" max="12557" width="13.42578125" style="217" bestFit="1" customWidth="1"/>
    <col min="12558" max="12560" width="14.5703125" style="217" customWidth="1"/>
    <col min="12561" max="12561" width="9.140625" style="217"/>
    <col min="12562" max="12562" width="14.5703125" style="217" customWidth="1"/>
    <col min="12563" max="12797" width="9.140625" style="217"/>
    <col min="12798" max="12798" width="5.140625" style="217" bestFit="1" customWidth="1"/>
    <col min="12799" max="12799" width="45.5703125" style="217" customWidth="1"/>
    <col min="12800" max="12800" width="17.28515625" style="217" customWidth="1"/>
    <col min="12801" max="12801" width="14.7109375" style="217" bestFit="1" customWidth="1"/>
    <col min="12802" max="12802" width="12" style="217" bestFit="1" customWidth="1"/>
    <col min="12803" max="12803" width="14.5703125" style="217" bestFit="1" customWidth="1"/>
    <col min="12804" max="12807" width="12.5703125" style="217" customWidth="1"/>
    <col min="12808" max="12808" width="11" style="217" customWidth="1"/>
    <col min="12809" max="12811" width="8.7109375" style="217" customWidth="1"/>
    <col min="12812" max="12812" width="8.85546875" style="217" bestFit="1" customWidth="1"/>
    <col min="12813" max="12813" width="13.42578125" style="217" bestFit="1" customWidth="1"/>
    <col min="12814" max="12816" width="14.5703125" style="217" customWidth="1"/>
    <col min="12817" max="12817" width="9.140625" style="217"/>
    <col min="12818" max="12818" width="14.5703125" style="217" customWidth="1"/>
    <col min="12819" max="13053" width="9.140625" style="217"/>
    <col min="13054" max="13054" width="5.140625" style="217" bestFit="1" customWidth="1"/>
    <col min="13055" max="13055" width="45.5703125" style="217" customWidth="1"/>
    <col min="13056" max="13056" width="17.28515625" style="217" customWidth="1"/>
    <col min="13057" max="13057" width="14.7109375" style="217" bestFit="1" customWidth="1"/>
    <col min="13058" max="13058" width="12" style="217" bestFit="1" customWidth="1"/>
    <col min="13059" max="13059" width="14.5703125" style="217" bestFit="1" customWidth="1"/>
    <col min="13060" max="13063" width="12.5703125" style="217" customWidth="1"/>
    <col min="13064" max="13064" width="11" style="217" customWidth="1"/>
    <col min="13065" max="13067" width="8.7109375" style="217" customWidth="1"/>
    <col min="13068" max="13068" width="8.85546875" style="217" bestFit="1" customWidth="1"/>
    <col min="13069" max="13069" width="13.42578125" style="217" bestFit="1" customWidth="1"/>
    <col min="13070" max="13072" width="14.5703125" style="217" customWidth="1"/>
    <col min="13073" max="13073" width="9.140625" style="217"/>
    <col min="13074" max="13074" width="14.5703125" style="217" customWidth="1"/>
    <col min="13075" max="13309" width="9.140625" style="217"/>
    <col min="13310" max="13310" width="5.140625" style="217" bestFit="1" customWidth="1"/>
    <col min="13311" max="13311" width="45.5703125" style="217" customWidth="1"/>
    <col min="13312" max="13312" width="17.28515625" style="217" customWidth="1"/>
    <col min="13313" max="13313" width="14.7109375" style="217" bestFit="1" customWidth="1"/>
    <col min="13314" max="13314" width="12" style="217" bestFit="1" customWidth="1"/>
    <col min="13315" max="13315" width="14.5703125" style="217" bestFit="1" customWidth="1"/>
    <col min="13316" max="13319" width="12.5703125" style="217" customWidth="1"/>
    <col min="13320" max="13320" width="11" style="217" customWidth="1"/>
    <col min="13321" max="13323" width="8.7109375" style="217" customWidth="1"/>
    <col min="13324" max="13324" width="8.85546875" style="217" bestFit="1" customWidth="1"/>
    <col min="13325" max="13325" width="13.42578125" style="217" bestFit="1" customWidth="1"/>
    <col min="13326" max="13328" width="14.5703125" style="217" customWidth="1"/>
    <col min="13329" max="13329" width="9.140625" style="217"/>
    <col min="13330" max="13330" width="14.5703125" style="217" customWidth="1"/>
    <col min="13331" max="13565" width="9.140625" style="217"/>
    <col min="13566" max="13566" width="5.140625" style="217" bestFit="1" customWidth="1"/>
    <col min="13567" max="13567" width="45.5703125" style="217" customWidth="1"/>
    <col min="13568" max="13568" width="17.28515625" style="217" customWidth="1"/>
    <col min="13569" max="13569" width="14.7109375" style="217" bestFit="1" customWidth="1"/>
    <col min="13570" max="13570" width="12" style="217" bestFit="1" customWidth="1"/>
    <col min="13571" max="13571" width="14.5703125" style="217" bestFit="1" customWidth="1"/>
    <col min="13572" max="13575" width="12.5703125" style="217" customWidth="1"/>
    <col min="13576" max="13576" width="11" style="217" customWidth="1"/>
    <col min="13577" max="13579" width="8.7109375" style="217" customWidth="1"/>
    <col min="13580" max="13580" width="8.85546875" style="217" bestFit="1" customWidth="1"/>
    <col min="13581" max="13581" width="13.42578125" style="217" bestFit="1" customWidth="1"/>
    <col min="13582" max="13584" width="14.5703125" style="217" customWidth="1"/>
    <col min="13585" max="13585" width="9.140625" style="217"/>
    <col min="13586" max="13586" width="14.5703125" style="217" customWidth="1"/>
    <col min="13587" max="13821" width="9.140625" style="217"/>
    <col min="13822" max="13822" width="5.140625" style="217" bestFit="1" customWidth="1"/>
    <col min="13823" max="13823" width="45.5703125" style="217" customWidth="1"/>
    <col min="13824" max="13824" width="17.28515625" style="217" customWidth="1"/>
    <col min="13825" max="13825" width="14.7109375" style="217" bestFit="1" customWidth="1"/>
    <col min="13826" max="13826" width="12" style="217" bestFit="1" customWidth="1"/>
    <col min="13827" max="13827" width="14.5703125" style="217" bestFit="1" customWidth="1"/>
    <col min="13828" max="13831" width="12.5703125" style="217" customWidth="1"/>
    <col min="13832" max="13832" width="11" style="217" customWidth="1"/>
    <col min="13833" max="13835" width="8.7109375" style="217" customWidth="1"/>
    <col min="13836" max="13836" width="8.85546875" style="217" bestFit="1" customWidth="1"/>
    <col min="13837" max="13837" width="13.42578125" style="217" bestFit="1" customWidth="1"/>
    <col min="13838" max="13840" width="14.5703125" style="217" customWidth="1"/>
    <col min="13841" max="13841" width="9.140625" style="217"/>
    <col min="13842" max="13842" width="14.5703125" style="217" customWidth="1"/>
    <col min="13843" max="14077" width="9.140625" style="217"/>
    <col min="14078" max="14078" width="5.140625" style="217" bestFit="1" customWidth="1"/>
    <col min="14079" max="14079" width="45.5703125" style="217" customWidth="1"/>
    <col min="14080" max="14080" width="17.28515625" style="217" customWidth="1"/>
    <col min="14081" max="14081" width="14.7109375" style="217" bestFit="1" customWidth="1"/>
    <col min="14082" max="14082" width="12" style="217" bestFit="1" customWidth="1"/>
    <col min="14083" max="14083" width="14.5703125" style="217" bestFit="1" customWidth="1"/>
    <col min="14084" max="14087" width="12.5703125" style="217" customWidth="1"/>
    <col min="14088" max="14088" width="11" style="217" customWidth="1"/>
    <col min="14089" max="14091" width="8.7109375" style="217" customWidth="1"/>
    <col min="14092" max="14092" width="8.85546875" style="217" bestFit="1" customWidth="1"/>
    <col min="14093" max="14093" width="13.42578125" style="217" bestFit="1" customWidth="1"/>
    <col min="14094" max="14096" width="14.5703125" style="217" customWidth="1"/>
    <col min="14097" max="14097" width="9.140625" style="217"/>
    <col min="14098" max="14098" width="14.5703125" style="217" customWidth="1"/>
    <col min="14099" max="14333" width="9.140625" style="217"/>
    <col min="14334" max="14334" width="5.140625" style="217" bestFit="1" customWidth="1"/>
    <col min="14335" max="14335" width="45.5703125" style="217" customWidth="1"/>
    <col min="14336" max="14336" width="17.28515625" style="217" customWidth="1"/>
    <col min="14337" max="14337" width="14.7109375" style="217" bestFit="1" customWidth="1"/>
    <col min="14338" max="14338" width="12" style="217" bestFit="1" customWidth="1"/>
    <col min="14339" max="14339" width="14.5703125" style="217" bestFit="1" customWidth="1"/>
    <col min="14340" max="14343" width="12.5703125" style="217" customWidth="1"/>
    <col min="14344" max="14344" width="11" style="217" customWidth="1"/>
    <col min="14345" max="14347" width="8.7109375" style="217" customWidth="1"/>
    <col min="14348" max="14348" width="8.85546875" style="217" bestFit="1" customWidth="1"/>
    <col min="14349" max="14349" width="13.42578125" style="217" bestFit="1" customWidth="1"/>
    <col min="14350" max="14352" width="14.5703125" style="217" customWidth="1"/>
    <col min="14353" max="14353" width="9.140625" style="217"/>
    <col min="14354" max="14354" width="14.5703125" style="217" customWidth="1"/>
    <col min="14355" max="14589" width="9.140625" style="217"/>
    <col min="14590" max="14590" width="5.140625" style="217" bestFit="1" customWidth="1"/>
    <col min="14591" max="14591" width="45.5703125" style="217" customWidth="1"/>
    <col min="14592" max="14592" width="17.28515625" style="217" customWidth="1"/>
    <col min="14593" max="14593" width="14.7109375" style="217" bestFit="1" customWidth="1"/>
    <col min="14594" max="14594" width="12" style="217" bestFit="1" customWidth="1"/>
    <col min="14595" max="14595" width="14.5703125" style="217" bestFit="1" customWidth="1"/>
    <col min="14596" max="14599" width="12.5703125" style="217" customWidth="1"/>
    <col min="14600" max="14600" width="11" style="217" customWidth="1"/>
    <col min="14601" max="14603" width="8.7109375" style="217" customWidth="1"/>
    <col min="14604" max="14604" width="8.85546875" style="217" bestFit="1" customWidth="1"/>
    <col min="14605" max="14605" width="13.42578125" style="217" bestFit="1" customWidth="1"/>
    <col min="14606" max="14608" width="14.5703125" style="217" customWidth="1"/>
    <col min="14609" max="14609" width="9.140625" style="217"/>
    <col min="14610" max="14610" width="14.5703125" style="217" customWidth="1"/>
    <col min="14611" max="14845" width="9.140625" style="217"/>
    <col min="14846" max="14846" width="5.140625" style="217" bestFit="1" customWidth="1"/>
    <col min="14847" max="14847" width="45.5703125" style="217" customWidth="1"/>
    <col min="14848" max="14848" width="17.28515625" style="217" customWidth="1"/>
    <col min="14849" max="14849" width="14.7109375" style="217" bestFit="1" customWidth="1"/>
    <col min="14850" max="14850" width="12" style="217" bestFit="1" customWidth="1"/>
    <col min="14851" max="14851" width="14.5703125" style="217" bestFit="1" customWidth="1"/>
    <col min="14852" max="14855" width="12.5703125" style="217" customWidth="1"/>
    <col min="14856" max="14856" width="11" style="217" customWidth="1"/>
    <col min="14857" max="14859" width="8.7109375" style="217" customWidth="1"/>
    <col min="14860" max="14860" width="8.85546875" style="217" bestFit="1" customWidth="1"/>
    <col min="14861" max="14861" width="13.42578125" style="217" bestFit="1" customWidth="1"/>
    <col min="14862" max="14864" width="14.5703125" style="217" customWidth="1"/>
    <col min="14865" max="14865" width="9.140625" style="217"/>
    <col min="14866" max="14866" width="14.5703125" style="217" customWidth="1"/>
    <col min="14867" max="15101" width="9.140625" style="217"/>
    <col min="15102" max="15102" width="5.140625" style="217" bestFit="1" customWidth="1"/>
    <col min="15103" max="15103" width="45.5703125" style="217" customWidth="1"/>
    <col min="15104" max="15104" width="17.28515625" style="217" customWidth="1"/>
    <col min="15105" max="15105" width="14.7109375" style="217" bestFit="1" customWidth="1"/>
    <col min="15106" max="15106" width="12" style="217" bestFit="1" customWidth="1"/>
    <col min="15107" max="15107" width="14.5703125" style="217" bestFit="1" customWidth="1"/>
    <col min="15108" max="15111" width="12.5703125" style="217" customWidth="1"/>
    <col min="15112" max="15112" width="11" style="217" customWidth="1"/>
    <col min="15113" max="15115" width="8.7109375" style="217" customWidth="1"/>
    <col min="15116" max="15116" width="8.85546875" style="217" bestFit="1" customWidth="1"/>
    <col min="15117" max="15117" width="13.42578125" style="217" bestFit="1" customWidth="1"/>
    <col min="15118" max="15120" width="14.5703125" style="217" customWidth="1"/>
    <col min="15121" max="15121" width="9.140625" style="217"/>
    <col min="15122" max="15122" width="14.5703125" style="217" customWidth="1"/>
    <col min="15123" max="15357" width="9.140625" style="217"/>
    <col min="15358" max="15358" width="5.140625" style="217" bestFit="1" customWidth="1"/>
    <col min="15359" max="15359" width="45.5703125" style="217" customWidth="1"/>
    <col min="15360" max="15360" width="17.28515625" style="217" customWidth="1"/>
    <col min="15361" max="15361" width="14.7109375" style="217" bestFit="1" customWidth="1"/>
    <col min="15362" max="15362" width="12" style="217" bestFit="1" customWidth="1"/>
    <col min="15363" max="15363" width="14.5703125" style="217" bestFit="1" customWidth="1"/>
    <col min="15364" max="15367" width="12.5703125" style="217" customWidth="1"/>
    <col min="15368" max="15368" width="11" style="217" customWidth="1"/>
    <col min="15369" max="15371" width="8.7109375" style="217" customWidth="1"/>
    <col min="15372" max="15372" width="8.85546875" style="217" bestFit="1" customWidth="1"/>
    <col min="15373" max="15373" width="13.42578125" style="217" bestFit="1" customWidth="1"/>
    <col min="15374" max="15376" width="14.5703125" style="217" customWidth="1"/>
    <col min="15377" max="15377" width="9.140625" style="217"/>
    <col min="15378" max="15378" width="14.5703125" style="217" customWidth="1"/>
    <col min="15379" max="15613" width="9.140625" style="217"/>
    <col min="15614" max="15614" width="5.140625" style="217" bestFit="1" customWidth="1"/>
    <col min="15615" max="15615" width="45.5703125" style="217" customWidth="1"/>
    <col min="15616" max="15616" width="17.28515625" style="217" customWidth="1"/>
    <col min="15617" max="15617" width="14.7109375" style="217" bestFit="1" customWidth="1"/>
    <col min="15618" max="15618" width="12" style="217" bestFit="1" customWidth="1"/>
    <col min="15619" max="15619" width="14.5703125" style="217" bestFit="1" customWidth="1"/>
    <col min="15620" max="15623" width="12.5703125" style="217" customWidth="1"/>
    <col min="15624" max="15624" width="11" style="217" customWidth="1"/>
    <col min="15625" max="15627" width="8.7109375" style="217" customWidth="1"/>
    <col min="15628" max="15628" width="8.85546875" style="217" bestFit="1" customWidth="1"/>
    <col min="15629" max="15629" width="13.42578125" style="217" bestFit="1" customWidth="1"/>
    <col min="15630" max="15632" width="14.5703125" style="217" customWidth="1"/>
    <col min="15633" max="15633" width="9.140625" style="217"/>
    <col min="15634" max="15634" width="14.5703125" style="217" customWidth="1"/>
    <col min="15635" max="15869" width="9.140625" style="217"/>
    <col min="15870" max="15870" width="5.140625" style="217" bestFit="1" customWidth="1"/>
    <col min="15871" max="15871" width="45.5703125" style="217" customWidth="1"/>
    <col min="15872" max="15872" width="17.28515625" style="217" customWidth="1"/>
    <col min="15873" max="15873" width="14.7109375" style="217" bestFit="1" customWidth="1"/>
    <col min="15874" max="15874" width="12" style="217" bestFit="1" customWidth="1"/>
    <col min="15875" max="15875" width="14.5703125" style="217" bestFit="1" customWidth="1"/>
    <col min="15876" max="15879" width="12.5703125" style="217" customWidth="1"/>
    <col min="15880" max="15880" width="11" style="217" customWidth="1"/>
    <col min="15881" max="15883" width="8.7109375" style="217" customWidth="1"/>
    <col min="15884" max="15884" width="8.85546875" style="217" bestFit="1" customWidth="1"/>
    <col min="15885" max="15885" width="13.42578125" style="217" bestFit="1" customWidth="1"/>
    <col min="15886" max="15888" width="14.5703125" style="217" customWidth="1"/>
    <col min="15889" max="15889" width="9.140625" style="217"/>
    <col min="15890" max="15890" width="14.5703125" style="217" customWidth="1"/>
    <col min="15891" max="16125" width="9.140625" style="217"/>
    <col min="16126" max="16126" width="5.140625" style="217" bestFit="1" customWidth="1"/>
    <col min="16127" max="16127" width="45.5703125" style="217" customWidth="1"/>
    <col min="16128" max="16128" width="17.28515625" style="217" customWidth="1"/>
    <col min="16129" max="16129" width="14.7109375" style="217" bestFit="1" customWidth="1"/>
    <col min="16130" max="16130" width="12" style="217" bestFit="1" customWidth="1"/>
    <col min="16131" max="16131" width="14.5703125" style="217" bestFit="1" customWidth="1"/>
    <col min="16132" max="16135" width="12.5703125" style="217" customWidth="1"/>
    <col min="16136" max="16136" width="11" style="217" customWidth="1"/>
    <col min="16137" max="16139" width="8.7109375" style="217" customWidth="1"/>
    <col min="16140" max="16140" width="8.85546875" style="217" bestFit="1" customWidth="1"/>
    <col min="16141" max="16141" width="13.42578125" style="217" bestFit="1" customWidth="1"/>
    <col min="16142" max="16144" width="14.5703125" style="217" customWidth="1"/>
    <col min="16145" max="16145" width="9.140625" style="217"/>
    <col min="16146" max="16146" width="14.5703125" style="217" customWidth="1"/>
    <col min="16147" max="16384" width="9.140625" style="217"/>
  </cols>
  <sheetData>
    <row r="1" spans="1:253" ht="22.5">
      <c r="A1" s="378" t="s">
        <v>220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253" ht="22.5">
      <c r="A2" s="378" t="s">
        <v>221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253" ht="22.5">
      <c r="A3" s="379" t="s">
        <v>222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253" ht="19.5" thickBot="1"/>
    <row r="5" spans="1:253" ht="94.5" thickBot="1">
      <c r="A5" s="221" t="s">
        <v>223</v>
      </c>
      <c r="B5" s="222" t="s">
        <v>224</v>
      </c>
      <c r="C5" s="223" t="s">
        <v>225</v>
      </c>
      <c r="D5" s="224" t="s">
        <v>226</v>
      </c>
      <c r="E5" s="225" t="s">
        <v>25</v>
      </c>
      <c r="F5" s="226" t="s">
        <v>227</v>
      </c>
      <c r="G5" s="227" t="s">
        <v>142</v>
      </c>
      <c r="H5" s="227" t="s">
        <v>143</v>
      </c>
      <c r="I5" s="227" t="s">
        <v>144</v>
      </c>
      <c r="J5" s="227" t="s">
        <v>145</v>
      </c>
      <c r="K5" s="226" t="s">
        <v>228</v>
      </c>
      <c r="L5" s="227" t="s">
        <v>147</v>
      </c>
      <c r="M5" s="227" t="s">
        <v>148</v>
      </c>
      <c r="N5" s="227" t="s">
        <v>149</v>
      </c>
      <c r="O5" s="227" t="s">
        <v>150</v>
      </c>
      <c r="P5" s="226" t="s">
        <v>229</v>
      </c>
      <c r="Q5" s="228" t="s">
        <v>230</v>
      </c>
      <c r="R5" s="228" t="s">
        <v>231</v>
      </c>
      <c r="S5" s="229" t="s">
        <v>232</v>
      </c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230"/>
      <c r="GQ5" s="230"/>
      <c r="GR5" s="230"/>
      <c r="GS5" s="230"/>
      <c r="GT5" s="230"/>
      <c r="GU5" s="230"/>
      <c r="GV5" s="230"/>
      <c r="GW5" s="230"/>
      <c r="GX5" s="230"/>
      <c r="GY5" s="230"/>
      <c r="GZ5" s="230"/>
      <c r="HA5" s="230"/>
      <c r="HB5" s="230"/>
      <c r="HC5" s="230"/>
      <c r="HD5" s="230"/>
      <c r="HE5" s="230"/>
      <c r="HF5" s="230"/>
      <c r="HG5" s="230"/>
      <c r="HH5" s="230"/>
      <c r="HI5" s="230"/>
      <c r="HJ5" s="230"/>
      <c r="HK5" s="230"/>
      <c r="HL5" s="230"/>
      <c r="HM5" s="230"/>
      <c r="HN5" s="230"/>
      <c r="HO5" s="230"/>
      <c r="HP5" s="230"/>
      <c r="HQ5" s="230"/>
      <c r="HR5" s="230"/>
      <c r="HS5" s="230"/>
      <c r="HT5" s="230"/>
      <c r="HU5" s="230"/>
      <c r="HV5" s="230"/>
      <c r="HW5" s="230"/>
      <c r="HX5" s="230"/>
      <c r="HY5" s="230"/>
      <c r="HZ5" s="230"/>
      <c r="IA5" s="230"/>
      <c r="IB5" s="230"/>
      <c r="IC5" s="230"/>
      <c r="ID5" s="230"/>
      <c r="IE5" s="230"/>
      <c r="IF5" s="230"/>
      <c r="IG5" s="230"/>
      <c r="IH5" s="230"/>
      <c r="II5" s="230"/>
      <c r="IJ5" s="230"/>
      <c r="IK5" s="230"/>
      <c r="IL5" s="230"/>
      <c r="IM5" s="230"/>
      <c r="IN5" s="230"/>
      <c r="IO5" s="230"/>
      <c r="IP5" s="230"/>
      <c r="IQ5" s="230"/>
      <c r="IR5" s="230"/>
      <c r="IS5" s="230"/>
    </row>
    <row r="6" spans="1:253" ht="23.25" thickTop="1">
      <c r="A6" s="231" t="s">
        <v>233</v>
      </c>
      <c r="B6" s="232"/>
      <c r="C6" s="233">
        <f t="shared" ref="C6:S6" si="0">SUBTOTAL(9,C7:C57)</f>
        <v>3121</v>
      </c>
      <c r="D6" s="233">
        <f t="shared" si="0"/>
        <v>1354.5</v>
      </c>
      <c r="E6" s="234">
        <f t="shared" si="0"/>
        <v>162.5</v>
      </c>
      <c r="F6" s="235">
        <f t="shared" si="0"/>
        <v>1675</v>
      </c>
      <c r="G6" s="236">
        <f t="shared" si="0"/>
        <v>308</v>
      </c>
      <c r="H6" s="236">
        <f t="shared" si="0"/>
        <v>570</v>
      </c>
      <c r="I6" s="236">
        <f t="shared" si="0"/>
        <v>595.5</v>
      </c>
      <c r="J6" s="234">
        <f t="shared" si="0"/>
        <v>201.5</v>
      </c>
      <c r="K6" s="235">
        <f t="shared" si="0"/>
        <v>69</v>
      </c>
      <c r="L6" s="236">
        <f t="shared" si="0"/>
        <v>5.5</v>
      </c>
      <c r="M6" s="236">
        <f t="shared" si="0"/>
        <v>7</v>
      </c>
      <c r="N6" s="236">
        <f t="shared" si="0"/>
        <v>31.5</v>
      </c>
      <c r="O6" s="234">
        <f t="shared" si="0"/>
        <v>25</v>
      </c>
      <c r="P6" s="235">
        <f t="shared" si="0"/>
        <v>1377</v>
      </c>
      <c r="Q6" s="236">
        <f t="shared" si="0"/>
        <v>401.5</v>
      </c>
      <c r="R6" s="236">
        <f t="shared" si="0"/>
        <v>351</v>
      </c>
      <c r="S6" s="237">
        <f t="shared" si="0"/>
        <v>624.5</v>
      </c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  <c r="IO6" s="238"/>
      <c r="IP6" s="238"/>
      <c r="IQ6" s="238"/>
      <c r="IR6" s="238"/>
      <c r="IS6" s="238"/>
    </row>
    <row r="7" spans="1:253" ht="20.25">
      <c r="A7" s="239" t="s">
        <v>234</v>
      </c>
      <c r="B7" s="240"/>
      <c r="C7" s="241">
        <f t="shared" ref="C7:S7" si="1">SUBTOTAL(9,C8:C25)</f>
        <v>2222</v>
      </c>
      <c r="D7" s="241">
        <f t="shared" si="1"/>
        <v>1282</v>
      </c>
      <c r="E7" s="242">
        <f t="shared" si="1"/>
        <v>156.5</v>
      </c>
      <c r="F7" s="243">
        <f t="shared" si="1"/>
        <v>1605</v>
      </c>
      <c r="G7" s="244">
        <f t="shared" si="1"/>
        <v>296</v>
      </c>
      <c r="H7" s="244">
        <f t="shared" si="1"/>
        <v>550</v>
      </c>
      <c r="I7" s="244">
        <f t="shared" si="1"/>
        <v>562.5</v>
      </c>
      <c r="J7" s="242">
        <f t="shared" si="1"/>
        <v>196.5</v>
      </c>
      <c r="K7" s="243">
        <f t="shared" si="1"/>
        <v>42</v>
      </c>
      <c r="L7" s="244">
        <f t="shared" si="1"/>
        <v>4.5</v>
      </c>
      <c r="M7" s="244">
        <f t="shared" si="1"/>
        <v>3</v>
      </c>
      <c r="N7" s="244">
        <f t="shared" si="1"/>
        <v>20.5</v>
      </c>
      <c r="O7" s="242">
        <f t="shared" si="1"/>
        <v>14</v>
      </c>
      <c r="P7" s="243">
        <f t="shared" si="1"/>
        <v>575</v>
      </c>
      <c r="Q7" s="244">
        <f t="shared" si="1"/>
        <v>192.5</v>
      </c>
      <c r="R7" s="244">
        <f t="shared" si="1"/>
        <v>145.5</v>
      </c>
      <c r="S7" s="245">
        <f t="shared" si="1"/>
        <v>237</v>
      </c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  <c r="IL7" s="246"/>
      <c r="IM7" s="246"/>
      <c r="IN7" s="246"/>
      <c r="IO7" s="246"/>
      <c r="IP7" s="246"/>
      <c r="IQ7" s="246"/>
      <c r="IR7" s="246"/>
      <c r="IS7" s="246"/>
    </row>
    <row r="8" spans="1:253">
      <c r="A8" s="247">
        <v>1</v>
      </c>
      <c r="B8" s="248" t="s">
        <v>235</v>
      </c>
      <c r="C8" s="277">
        <f>F8+K8+P8</f>
        <v>46</v>
      </c>
      <c r="D8" s="278">
        <v>24</v>
      </c>
      <c r="E8" s="279">
        <v>2</v>
      </c>
      <c r="F8" s="280">
        <f>SUM(G8:J8)</f>
        <v>29</v>
      </c>
      <c r="G8" s="281">
        <v>5</v>
      </c>
      <c r="H8" s="281">
        <v>11</v>
      </c>
      <c r="I8" s="281">
        <v>10</v>
      </c>
      <c r="J8" s="282">
        <v>3</v>
      </c>
      <c r="K8" s="283">
        <f>SUM(L8:O8)</f>
        <v>0</v>
      </c>
      <c r="L8" s="284"/>
      <c r="M8" s="284"/>
      <c r="N8" s="284"/>
      <c r="O8" s="285"/>
      <c r="P8" s="286">
        <f>SUM(Q8:S8)</f>
        <v>17</v>
      </c>
      <c r="Q8" s="287">
        <v>4</v>
      </c>
      <c r="R8" s="287">
        <v>3</v>
      </c>
      <c r="S8" s="288">
        <v>10</v>
      </c>
    </row>
    <row r="9" spans="1:253">
      <c r="A9" s="249">
        <v>2</v>
      </c>
      <c r="B9" s="250" t="s">
        <v>101</v>
      </c>
      <c r="C9" s="289">
        <f>F9+K9+P9</f>
        <v>192</v>
      </c>
      <c r="D9" s="290">
        <v>114.5</v>
      </c>
      <c r="E9" s="291">
        <v>4</v>
      </c>
      <c r="F9" s="292">
        <f t="shared" ref="F9:F57" si="2">SUM(G9:J9)</f>
        <v>124.5</v>
      </c>
      <c r="G9" s="293">
        <v>13</v>
      </c>
      <c r="H9" s="293">
        <v>45.5</v>
      </c>
      <c r="I9" s="293">
        <v>51</v>
      </c>
      <c r="J9" s="294">
        <v>15</v>
      </c>
      <c r="K9" s="295">
        <f t="shared" ref="K9:K57" si="3">SUM(L9:O9)</f>
        <v>0</v>
      </c>
      <c r="L9" s="296"/>
      <c r="M9" s="296"/>
      <c r="N9" s="296"/>
      <c r="O9" s="297"/>
      <c r="P9" s="298">
        <f t="shared" ref="P9:P57" si="4">SUM(Q9:S9)</f>
        <v>67.5</v>
      </c>
      <c r="Q9" s="299">
        <v>12</v>
      </c>
      <c r="R9" s="299">
        <v>29</v>
      </c>
      <c r="S9" s="300">
        <v>26.5</v>
      </c>
    </row>
    <row r="10" spans="1:253">
      <c r="A10" s="249">
        <v>3</v>
      </c>
      <c r="B10" s="250" t="s">
        <v>129</v>
      </c>
      <c r="C10" s="289">
        <f t="shared" ref="C10:C57" si="5">F10+K10+P10</f>
        <v>121.5</v>
      </c>
      <c r="D10" s="290">
        <v>83</v>
      </c>
      <c r="E10" s="291">
        <v>1</v>
      </c>
      <c r="F10" s="292">
        <f t="shared" si="2"/>
        <v>87.5</v>
      </c>
      <c r="G10" s="293">
        <v>15</v>
      </c>
      <c r="H10" s="293">
        <v>32</v>
      </c>
      <c r="I10" s="293">
        <v>30</v>
      </c>
      <c r="J10" s="294">
        <v>10.5</v>
      </c>
      <c r="K10" s="295">
        <f t="shared" si="3"/>
        <v>0</v>
      </c>
      <c r="L10" s="296"/>
      <c r="M10" s="296"/>
      <c r="N10" s="296"/>
      <c r="O10" s="297"/>
      <c r="P10" s="298">
        <f t="shared" si="4"/>
        <v>34</v>
      </c>
      <c r="Q10" s="299">
        <v>6.5</v>
      </c>
      <c r="R10" s="299">
        <v>16.5</v>
      </c>
      <c r="S10" s="300">
        <v>11</v>
      </c>
    </row>
    <row r="11" spans="1:253">
      <c r="A11" s="249">
        <v>4</v>
      </c>
      <c r="B11" s="250" t="s">
        <v>130</v>
      </c>
      <c r="C11" s="289">
        <f t="shared" si="5"/>
        <v>94.5</v>
      </c>
      <c r="D11" s="290">
        <v>74.5</v>
      </c>
      <c r="E11" s="291">
        <v>4</v>
      </c>
      <c r="F11" s="292">
        <f t="shared" si="2"/>
        <v>77</v>
      </c>
      <c r="G11" s="293">
        <v>17</v>
      </c>
      <c r="H11" s="293">
        <v>22</v>
      </c>
      <c r="I11" s="293">
        <v>36</v>
      </c>
      <c r="J11" s="294">
        <v>2</v>
      </c>
      <c r="K11" s="295">
        <f t="shared" si="3"/>
        <v>5</v>
      </c>
      <c r="L11" s="296"/>
      <c r="M11" s="296"/>
      <c r="N11" s="296">
        <v>2</v>
      </c>
      <c r="O11" s="297">
        <v>3</v>
      </c>
      <c r="P11" s="298">
        <f t="shared" si="4"/>
        <v>12.5</v>
      </c>
      <c r="Q11" s="299">
        <v>8</v>
      </c>
      <c r="R11" s="299">
        <v>1</v>
      </c>
      <c r="S11" s="300">
        <v>3.5</v>
      </c>
    </row>
    <row r="12" spans="1:253">
      <c r="A12" s="249">
        <v>5</v>
      </c>
      <c r="B12" s="273" t="s">
        <v>236</v>
      </c>
      <c r="C12" s="301">
        <f t="shared" si="5"/>
        <v>47.5</v>
      </c>
      <c r="D12" s="302">
        <v>23</v>
      </c>
      <c r="E12" s="303">
        <v>3</v>
      </c>
      <c r="F12" s="304">
        <f t="shared" si="2"/>
        <v>30.5</v>
      </c>
      <c r="G12" s="305">
        <v>4.5</v>
      </c>
      <c r="H12" s="305">
        <v>6.5</v>
      </c>
      <c r="I12" s="305">
        <v>10</v>
      </c>
      <c r="J12" s="306">
        <v>9.5</v>
      </c>
      <c r="K12" s="307">
        <f t="shared" si="3"/>
        <v>1</v>
      </c>
      <c r="L12" s="308"/>
      <c r="M12" s="308">
        <v>1</v>
      </c>
      <c r="N12" s="308"/>
      <c r="O12" s="309"/>
      <c r="P12" s="310">
        <f t="shared" si="4"/>
        <v>16</v>
      </c>
      <c r="Q12" s="311">
        <v>7</v>
      </c>
      <c r="R12" s="311">
        <v>4</v>
      </c>
      <c r="S12" s="312">
        <v>5</v>
      </c>
    </row>
    <row r="13" spans="1:253">
      <c r="A13" s="249"/>
      <c r="B13" s="273" t="s">
        <v>237</v>
      </c>
      <c r="C13" s="301">
        <f t="shared" si="5"/>
        <v>49</v>
      </c>
      <c r="D13" s="261"/>
      <c r="E13" s="262"/>
      <c r="F13" s="304">
        <f t="shared" si="2"/>
        <v>49</v>
      </c>
      <c r="G13" s="263">
        <v>7</v>
      </c>
      <c r="H13" s="263">
        <f>25-7</f>
        <v>18</v>
      </c>
      <c r="I13" s="263">
        <v>7</v>
      </c>
      <c r="J13" s="264">
        <f>25-8</f>
        <v>17</v>
      </c>
      <c r="K13" s="307">
        <f t="shared" si="3"/>
        <v>0</v>
      </c>
      <c r="L13" s="265"/>
      <c r="M13" s="265"/>
      <c r="N13" s="265"/>
      <c r="O13" s="266"/>
      <c r="P13" s="310">
        <f>SUM(Q13:S13)</f>
        <v>0</v>
      </c>
      <c r="Q13" s="267"/>
      <c r="R13" s="267"/>
      <c r="S13" s="268"/>
    </row>
    <row r="14" spans="1:253">
      <c r="A14" s="249"/>
      <c r="B14" s="273" t="s">
        <v>238</v>
      </c>
      <c r="C14" s="301">
        <f t="shared" si="5"/>
        <v>18</v>
      </c>
      <c r="D14" s="261"/>
      <c r="E14" s="262"/>
      <c r="F14" s="304">
        <f t="shared" si="2"/>
        <v>18</v>
      </c>
      <c r="G14" s="263">
        <v>2</v>
      </c>
      <c r="H14" s="263">
        <v>7</v>
      </c>
      <c r="I14" s="263">
        <v>1</v>
      </c>
      <c r="J14" s="264">
        <v>8</v>
      </c>
      <c r="K14" s="307">
        <f t="shared" si="3"/>
        <v>0</v>
      </c>
      <c r="L14" s="265"/>
      <c r="M14" s="265"/>
      <c r="N14" s="265"/>
      <c r="O14" s="266"/>
      <c r="P14" s="310">
        <f>SUM(Q14:S14)</f>
        <v>0</v>
      </c>
      <c r="Q14" s="267"/>
      <c r="R14" s="267"/>
      <c r="S14" s="268"/>
    </row>
    <row r="15" spans="1:253">
      <c r="A15" s="249">
        <v>6</v>
      </c>
      <c r="B15" s="250" t="s">
        <v>239</v>
      </c>
      <c r="C15" s="289">
        <f t="shared" si="5"/>
        <v>79.5</v>
      </c>
      <c r="D15" s="290">
        <v>43.5</v>
      </c>
      <c r="E15" s="291">
        <v>6</v>
      </c>
      <c r="F15" s="292">
        <f t="shared" si="2"/>
        <v>56</v>
      </c>
      <c r="G15" s="293">
        <v>9</v>
      </c>
      <c r="H15" s="293">
        <v>26.5</v>
      </c>
      <c r="I15" s="293">
        <v>11.5</v>
      </c>
      <c r="J15" s="294">
        <v>9</v>
      </c>
      <c r="K15" s="295">
        <f t="shared" si="3"/>
        <v>1</v>
      </c>
      <c r="L15" s="296">
        <v>1</v>
      </c>
      <c r="M15" s="296"/>
      <c r="N15" s="296"/>
      <c r="O15" s="297"/>
      <c r="P15" s="298">
        <f t="shared" si="4"/>
        <v>22.5</v>
      </c>
      <c r="Q15" s="299">
        <v>12</v>
      </c>
      <c r="R15" s="299">
        <v>1</v>
      </c>
      <c r="S15" s="300">
        <v>9.5</v>
      </c>
    </row>
    <row r="16" spans="1:253">
      <c r="A16" s="249">
        <v>7</v>
      </c>
      <c r="B16" s="250" t="s">
        <v>100</v>
      </c>
      <c r="C16" s="289">
        <f t="shared" si="5"/>
        <v>68</v>
      </c>
      <c r="D16" s="290">
        <v>37.5</v>
      </c>
      <c r="E16" s="291">
        <v>4</v>
      </c>
      <c r="F16" s="292">
        <f t="shared" si="2"/>
        <v>43.5</v>
      </c>
      <c r="G16" s="293">
        <v>9</v>
      </c>
      <c r="H16" s="293">
        <v>17</v>
      </c>
      <c r="I16" s="293">
        <v>16.5</v>
      </c>
      <c r="J16" s="294">
        <v>1</v>
      </c>
      <c r="K16" s="295">
        <f t="shared" si="3"/>
        <v>0</v>
      </c>
      <c r="L16" s="296"/>
      <c r="M16" s="296"/>
      <c r="N16" s="296"/>
      <c r="O16" s="297"/>
      <c r="P16" s="298">
        <f t="shared" si="4"/>
        <v>24.5</v>
      </c>
      <c r="Q16" s="299">
        <v>11</v>
      </c>
      <c r="R16" s="299">
        <v>2.5</v>
      </c>
      <c r="S16" s="300">
        <v>11</v>
      </c>
    </row>
    <row r="17" spans="1:253">
      <c r="A17" s="249">
        <v>8</v>
      </c>
      <c r="B17" s="250" t="s">
        <v>102</v>
      </c>
      <c r="C17" s="289">
        <f t="shared" si="5"/>
        <v>193.5</v>
      </c>
      <c r="D17" s="290">
        <v>94.5</v>
      </c>
      <c r="E17" s="291">
        <v>14</v>
      </c>
      <c r="F17" s="292">
        <f t="shared" si="2"/>
        <v>110.5</v>
      </c>
      <c r="G17" s="293">
        <v>12</v>
      </c>
      <c r="H17" s="293">
        <v>54.5</v>
      </c>
      <c r="I17" s="293">
        <v>38</v>
      </c>
      <c r="J17" s="294">
        <v>6</v>
      </c>
      <c r="K17" s="295">
        <f t="shared" si="3"/>
        <v>0</v>
      </c>
      <c r="L17" s="296"/>
      <c r="M17" s="296"/>
      <c r="N17" s="296"/>
      <c r="O17" s="297"/>
      <c r="P17" s="298">
        <f t="shared" si="4"/>
        <v>83</v>
      </c>
      <c r="Q17" s="299">
        <v>10.5</v>
      </c>
      <c r="R17" s="299">
        <v>35</v>
      </c>
      <c r="S17" s="300">
        <v>37.5</v>
      </c>
    </row>
    <row r="18" spans="1:253">
      <c r="A18" s="249">
        <v>9</v>
      </c>
      <c r="B18" s="250" t="s">
        <v>97</v>
      </c>
      <c r="C18" s="289">
        <f t="shared" si="5"/>
        <v>242</v>
      </c>
      <c r="D18" s="290">
        <v>149.5</v>
      </c>
      <c r="E18" s="291">
        <v>12</v>
      </c>
      <c r="F18" s="292">
        <f t="shared" si="2"/>
        <v>187</v>
      </c>
      <c r="G18" s="293">
        <v>24</v>
      </c>
      <c r="H18" s="293">
        <v>49</v>
      </c>
      <c r="I18" s="293">
        <v>76</v>
      </c>
      <c r="J18" s="294">
        <v>38</v>
      </c>
      <c r="K18" s="295">
        <f t="shared" si="3"/>
        <v>19.5</v>
      </c>
      <c r="L18" s="296">
        <v>1</v>
      </c>
      <c r="M18" s="296"/>
      <c r="N18" s="296">
        <v>12.5</v>
      </c>
      <c r="O18" s="297">
        <v>6</v>
      </c>
      <c r="P18" s="298">
        <f t="shared" si="4"/>
        <v>35.5</v>
      </c>
      <c r="Q18" s="299">
        <v>18</v>
      </c>
      <c r="R18" s="299">
        <v>3.5</v>
      </c>
      <c r="S18" s="300">
        <v>14</v>
      </c>
    </row>
    <row r="19" spans="1:253">
      <c r="A19" s="249">
        <v>10</v>
      </c>
      <c r="B19" s="250" t="s">
        <v>104</v>
      </c>
      <c r="C19" s="289">
        <f t="shared" si="5"/>
        <v>199</v>
      </c>
      <c r="D19" s="290">
        <v>114</v>
      </c>
      <c r="E19" s="291">
        <v>12</v>
      </c>
      <c r="F19" s="292">
        <f t="shared" si="2"/>
        <v>138</v>
      </c>
      <c r="G19" s="293">
        <v>23</v>
      </c>
      <c r="H19" s="293">
        <v>50</v>
      </c>
      <c r="I19" s="293">
        <v>49.5</v>
      </c>
      <c r="J19" s="294">
        <v>15.5</v>
      </c>
      <c r="K19" s="295">
        <f t="shared" si="3"/>
        <v>6</v>
      </c>
      <c r="L19" s="296">
        <v>1</v>
      </c>
      <c r="M19" s="296">
        <v>2</v>
      </c>
      <c r="N19" s="296"/>
      <c r="O19" s="297">
        <v>3</v>
      </c>
      <c r="P19" s="298">
        <f t="shared" si="4"/>
        <v>55</v>
      </c>
      <c r="Q19" s="299">
        <v>24</v>
      </c>
      <c r="R19" s="299">
        <v>11</v>
      </c>
      <c r="S19" s="300">
        <v>20</v>
      </c>
    </row>
    <row r="20" spans="1:253">
      <c r="A20" s="249">
        <v>11</v>
      </c>
      <c r="B20" s="250" t="s">
        <v>240</v>
      </c>
      <c r="C20" s="289">
        <f t="shared" si="5"/>
        <v>122.5</v>
      </c>
      <c r="D20" s="290">
        <v>67</v>
      </c>
      <c r="E20" s="291">
        <v>11</v>
      </c>
      <c r="F20" s="292">
        <f t="shared" si="2"/>
        <v>86</v>
      </c>
      <c r="G20" s="293">
        <v>24</v>
      </c>
      <c r="H20" s="293">
        <v>25</v>
      </c>
      <c r="I20" s="293">
        <v>24</v>
      </c>
      <c r="J20" s="294">
        <v>13</v>
      </c>
      <c r="K20" s="295">
        <f t="shared" si="3"/>
        <v>0</v>
      </c>
      <c r="L20" s="296"/>
      <c r="M20" s="296"/>
      <c r="N20" s="296"/>
      <c r="O20" s="297"/>
      <c r="P20" s="298">
        <f t="shared" si="4"/>
        <v>36.5</v>
      </c>
      <c r="Q20" s="299">
        <v>15</v>
      </c>
      <c r="R20" s="299">
        <v>2</v>
      </c>
      <c r="S20" s="300">
        <v>19.5</v>
      </c>
    </row>
    <row r="21" spans="1:253">
      <c r="A21" s="249">
        <v>12</v>
      </c>
      <c r="B21" s="250" t="s">
        <v>99</v>
      </c>
      <c r="C21" s="289">
        <f t="shared" si="5"/>
        <v>59.5</v>
      </c>
      <c r="D21" s="290">
        <v>34</v>
      </c>
      <c r="E21" s="291">
        <v>7</v>
      </c>
      <c r="F21" s="292">
        <f t="shared" si="2"/>
        <v>43</v>
      </c>
      <c r="G21" s="293">
        <v>12</v>
      </c>
      <c r="H21" s="293">
        <v>15</v>
      </c>
      <c r="I21" s="293">
        <v>12</v>
      </c>
      <c r="J21" s="294">
        <v>4</v>
      </c>
      <c r="K21" s="295">
        <f t="shared" si="3"/>
        <v>0</v>
      </c>
      <c r="L21" s="296"/>
      <c r="M21" s="296"/>
      <c r="N21" s="296"/>
      <c r="O21" s="297"/>
      <c r="P21" s="298">
        <f t="shared" si="4"/>
        <v>16.5</v>
      </c>
      <c r="Q21" s="299">
        <v>7</v>
      </c>
      <c r="R21" s="299">
        <v>1</v>
      </c>
      <c r="S21" s="300">
        <v>8.5</v>
      </c>
    </row>
    <row r="22" spans="1:253">
      <c r="A22" s="249">
        <v>13</v>
      </c>
      <c r="B22" s="250" t="s">
        <v>241</v>
      </c>
      <c r="C22" s="289">
        <f t="shared" si="5"/>
        <v>160.5</v>
      </c>
      <c r="D22" s="290">
        <v>116</v>
      </c>
      <c r="E22" s="291">
        <v>14</v>
      </c>
      <c r="F22" s="292">
        <f t="shared" si="2"/>
        <v>131</v>
      </c>
      <c r="G22" s="293">
        <v>29</v>
      </c>
      <c r="H22" s="293">
        <v>51</v>
      </c>
      <c r="I22" s="293">
        <v>44</v>
      </c>
      <c r="J22" s="294">
        <v>7</v>
      </c>
      <c r="K22" s="295">
        <f t="shared" si="3"/>
        <v>8</v>
      </c>
      <c r="L22" s="296">
        <v>1</v>
      </c>
      <c r="M22" s="296"/>
      <c r="N22" s="296">
        <v>6</v>
      </c>
      <c r="O22" s="297">
        <v>1</v>
      </c>
      <c r="P22" s="298">
        <f t="shared" si="4"/>
        <v>21.5</v>
      </c>
      <c r="Q22" s="299">
        <v>13</v>
      </c>
      <c r="R22" s="299">
        <v>3.5</v>
      </c>
      <c r="S22" s="300">
        <v>5</v>
      </c>
    </row>
    <row r="23" spans="1:253">
      <c r="A23" s="249">
        <v>14</v>
      </c>
      <c r="B23" s="250" t="s">
        <v>98</v>
      </c>
      <c r="C23" s="289">
        <f t="shared" si="5"/>
        <v>218.5</v>
      </c>
      <c r="D23" s="290">
        <v>130</v>
      </c>
      <c r="E23" s="291">
        <v>42.5</v>
      </c>
      <c r="F23" s="292">
        <f t="shared" si="2"/>
        <v>175</v>
      </c>
      <c r="G23" s="293">
        <v>47.5</v>
      </c>
      <c r="H23" s="293">
        <v>56</v>
      </c>
      <c r="I23" s="293">
        <v>65.5</v>
      </c>
      <c r="J23" s="294">
        <v>6</v>
      </c>
      <c r="K23" s="295">
        <f t="shared" si="3"/>
        <v>1.5</v>
      </c>
      <c r="L23" s="296">
        <v>0.5</v>
      </c>
      <c r="M23" s="296"/>
      <c r="N23" s="296"/>
      <c r="O23" s="297">
        <v>1</v>
      </c>
      <c r="P23" s="298">
        <f t="shared" si="4"/>
        <v>42</v>
      </c>
      <c r="Q23" s="299">
        <v>21.5</v>
      </c>
      <c r="R23" s="299">
        <v>3</v>
      </c>
      <c r="S23" s="300">
        <v>17.5</v>
      </c>
    </row>
    <row r="24" spans="1:253">
      <c r="A24" s="249">
        <v>15</v>
      </c>
      <c r="B24" s="250" t="s">
        <v>103</v>
      </c>
      <c r="C24" s="289">
        <f t="shared" si="5"/>
        <v>194</v>
      </c>
      <c r="D24" s="290">
        <v>104</v>
      </c>
      <c r="E24" s="291">
        <v>11</v>
      </c>
      <c r="F24" s="292">
        <f t="shared" si="2"/>
        <v>120.5</v>
      </c>
      <c r="G24" s="293">
        <v>23</v>
      </c>
      <c r="H24" s="293">
        <v>39</v>
      </c>
      <c r="I24" s="293">
        <v>43.5</v>
      </c>
      <c r="J24" s="294">
        <v>15</v>
      </c>
      <c r="K24" s="295">
        <f t="shared" si="3"/>
        <v>0</v>
      </c>
      <c r="L24" s="296"/>
      <c r="M24" s="296"/>
      <c r="N24" s="296"/>
      <c r="O24" s="297"/>
      <c r="P24" s="298">
        <f t="shared" si="4"/>
        <v>73.5</v>
      </c>
      <c r="Q24" s="299">
        <v>14</v>
      </c>
      <c r="R24" s="299">
        <v>29.5</v>
      </c>
      <c r="S24" s="300">
        <v>30</v>
      </c>
    </row>
    <row r="25" spans="1:253">
      <c r="A25" s="249">
        <v>16</v>
      </c>
      <c r="B25" s="250" t="s">
        <v>242</v>
      </c>
      <c r="C25" s="289">
        <f t="shared" si="5"/>
        <v>116.5</v>
      </c>
      <c r="D25" s="290">
        <v>73</v>
      </c>
      <c r="E25" s="291">
        <v>9</v>
      </c>
      <c r="F25" s="292">
        <f t="shared" si="2"/>
        <v>99</v>
      </c>
      <c r="G25" s="293">
        <v>20</v>
      </c>
      <c r="H25" s="293">
        <v>25</v>
      </c>
      <c r="I25" s="293">
        <v>37</v>
      </c>
      <c r="J25" s="294">
        <v>17</v>
      </c>
      <c r="K25" s="295">
        <f t="shared" si="3"/>
        <v>0</v>
      </c>
      <c r="L25" s="296"/>
      <c r="M25" s="296"/>
      <c r="N25" s="296"/>
      <c r="O25" s="297"/>
      <c r="P25" s="298">
        <f t="shared" si="4"/>
        <v>17.5</v>
      </c>
      <c r="Q25" s="299">
        <v>9</v>
      </c>
      <c r="R25" s="299"/>
      <c r="S25" s="300">
        <v>8.5</v>
      </c>
    </row>
    <row r="26" spans="1:253" ht="20.25">
      <c r="A26" s="251" t="s">
        <v>243</v>
      </c>
      <c r="B26" s="252"/>
      <c r="C26" s="253">
        <f>SUBTOTAL(9,C27:C29)</f>
        <v>117</v>
      </c>
      <c r="D26" s="254">
        <f t="shared" ref="D26:S26" si="6">SUBTOTAL(9,D27:D29)</f>
        <v>43.5</v>
      </c>
      <c r="E26" s="255">
        <f t="shared" si="6"/>
        <v>2</v>
      </c>
      <c r="F26" s="253">
        <f t="shared" si="6"/>
        <v>55</v>
      </c>
      <c r="G26" s="254">
        <f t="shared" si="6"/>
        <v>6</v>
      </c>
      <c r="H26" s="254">
        <f t="shared" si="6"/>
        <v>16</v>
      </c>
      <c r="I26" s="254">
        <f t="shared" si="6"/>
        <v>28</v>
      </c>
      <c r="J26" s="255">
        <f t="shared" si="6"/>
        <v>5</v>
      </c>
      <c r="K26" s="253">
        <f t="shared" si="6"/>
        <v>1</v>
      </c>
      <c r="L26" s="254">
        <f t="shared" si="6"/>
        <v>0</v>
      </c>
      <c r="M26" s="254">
        <f t="shared" si="6"/>
        <v>1</v>
      </c>
      <c r="N26" s="254">
        <f t="shared" si="6"/>
        <v>0</v>
      </c>
      <c r="O26" s="255">
        <f t="shared" si="6"/>
        <v>0</v>
      </c>
      <c r="P26" s="253">
        <f t="shared" si="6"/>
        <v>61</v>
      </c>
      <c r="Q26" s="254">
        <f t="shared" si="6"/>
        <v>22</v>
      </c>
      <c r="R26" s="254">
        <f t="shared" si="6"/>
        <v>4</v>
      </c>
      <c r="S26" s="255">
        <f t="shared" si="6"/>
        <v>35</v>
      </c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</row>
    <row r="27" spans="1:253">
      <c r="A27" s="249">
        <v>1</v>
      </c>
      <c r="B27" s="256" t="s">
        <v>105</v>
      </c>
      <c r="C27" s="289">
        <f t="shared" si="5"/>
        <v>52.5</v>
      </c>
      <c r="D27" s="290">
        <v>10</v>
      </c>
      <c r="E27" s="291">
        <v>1</v>
      </c>
      <c r="F27" s="292">
        <f t="shared" si="2"/>
        <v>18</v>
      </c>
      <c r="G27" s="293">
        <v>2</v>
      </c>
      <c r="H27" s="293">
        <v>5</v>
      </c>
      <c r="I27" s="293">
        <v>11</v>
      </c>
      <c r="J27" s="294"/>
      <c r="K27" s="295">
        <f t="shared" si="3"/>
        <v>0</v>
      </c>
      <c r="L27" s="296"/>
      <c r="M27" s="296"/>
      <c r="N27" s="296"/>
      <c r="O27" s="297"/>
      <c r="P27" s="298">
        <f t="shared" si="4"/>
        <v>34.5</v>
      </c>
      <c r="Q27" s="299">
        <v>9.5</v>
      </c>
      <c r="R27" s="299">
        <v>1</v>
      </c>
      <c r="S27" s="300">
        <v>24</v>
      </c>
    </row>
    <row r="28" spans="1:253">
      <c r="A28" s="249">
        <v>2</v>
      </c>
      <c r="B28" s="256" t="s">
        <v>106</v>
      </c>
      <c r="C28" s="289">
        <f t="shared" si="5"/>
        <v>35</v>
      </c>
      <c r="D28" s="290">
        <v>13</v>
      </c>
      <c r="E28" s="291">
        <v>1</v>
      </c>
      <c r="F28" s="292">
        <f t="shared" si="2"/>
        <v>14</v>
      </c>
      <c r="G28" s="293">
        <v>1</v>
      </c>
      <c r="H28" s="293">
        <v>8</v>
      </c>
      <c r="I28" s="293">
        <v>3</v>
      </c>
      <c r="J28" s="294">
        <v>2</v>
      </c>
      <c r="K28" s="295">
        <f t="shared" si="3"/>
        <v>1</v>
      </c>
      <c r="L28" s="296"/>
      <c r="M28" s="296">
        <v>1</v>
      </c>
      <c r="N28" s="296"/>
      <c r="O28" s="297"/>
      <c r="P28" s="298">
        <f t="shared" si="4"/>
        <v>20</v>
      </c>
      <c r="Q28" s="299">
        <v>9</v>
      </c>
      <c r="R28" s="299">
        <v>3</v>
      </c>
      <c r="S28" s="300">
        <v>8</v>
      </c>
    </row>
    <row r="29" spans="1:253">
      <c r="A29" s="249">
        <v>3</v>
      </c>
      <c r="B29" s="257" t="s">
        <v>244</v>
      </c>
      <c r="C29" s="289">
        <f t="shared" si="5"/>
        <v>29.5</v>
      </c>
      <c r="D29" s="290">
        <v>20.5</v>
      </c>
      <c r="E29" s="291"/>
      <c r="F29" s="292">
        <f t="shared" si="2"/>
        <v>23</v>
      </c>
      <c r="G29" s="293">
        <v>3</v>
      </c>
      <c r="H29" s="293">
        <v>3</v>
      </c>
      <c r="I29" s="293">
        <v>14</v>
      </c>
      <c r="J29" s="294">
        <v>3</v>
      </c>
      <c r="K29" s="295">
        <f t="shared" si="3"/>
        <v>0</v>
      </c>
      <c r="L29" s="296"/>
      <c r="M29" s="296"/>
      <c r="N29" s="296"/>
      <c r="O29" s="297"/>
      <c r="P29" s="298">
        <f t="shared" si="4"/>
        <v>6.5</v>
      </c>
      <c r="Q29" s="299">
        <v>3.5</v>
      </c>
      <c r="R29" s="299"/>
      <c r="S29" s="300">
        <v>3</v>
      </c>
    </row>
    <row r="30" spans="1:253" ht="20.25">
      <c r="A30" s="251" t="s">
        <v>245</v>
      </c>
      <c r="B30" s="252"/>
      <c r="C30" s="253">
        <f t="shared" ref="C30:J30" si="7">SUBTOTAL(9,C31:C36)</f>
        <v>52.5</v>
      </c>
      <c r="D30" s="254">
        <f t="shared" si="7"/>
        <v>10</v>
      </c>
      <c r="E30" s="255">
        <f t="shared" si="7"/>
        <v>2</v>
      </c>
      <c r="F30" s="253">
        <f t="shared" si="7"/>
        <v>8</v>
      </c>
      <c r="G30" s="254">
        <f t="shared" si="7"/>
        <v>2</v>
      </c>
      <c r="H30" s="254">
        <f t="shared" si="7"/>
        <v>1</v>
      </c>
      <c r="I30" s="254">
        <f t="shared" si="7"/>
        <v>5</v>
      </c>
      <c r="J30" s="255">
        <f t="shared" si="7"/>
        <v>0</v>
      </c>
      <c r="K30" s="253">
        <f>SUBTOTAL(9,K31:K36)</f>
        <v>0</v>
      </c>
      <c r="L30" s="254">
        <f t="shared" ref="L30:S30" si="8">SUBTOTAL(9,L31:L36)</f>
        <v>0</v>
      </c>
      <c r="M30" s="254">
        <f t="shared" si="8"/>
        <v>0</v>
      </c>
      <c r="N30" s="254">
        <f t="shared" si="8"/>
        <v>0</v>
      </c>
      <c r="O30" s="255">
        <f t="shared" si="8"/>
        <v>0</v>
      </c>
      <c r="P30" s="253">
        <f t="shared" si="8"/>
        <v>44.5</v>
      </c>
      <c r="Q30" s="254">
        <f t="shared" si="8"/>
        <v>22.5</v>
      </c>
      <c r="R30" s="254">
        <f t="shared" si="8"/>
        <v>12.5</v>
      </c>
      <c r="S30" s="255">
        <f t="shared" si="8"/>
        <v>9.5</v>
      </c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</row>
    <row r="31" spans="1:253">
      <c r="A31" s="249">
        <v>1</v>
      </c>
      <c r="B31" s="257" t="s">
        <v>114</v>
      </c>
      <c r="C31" s="289">
        <f t="shared" si="5"/>
        <v>21.5</v>
      </c>
      <c r="D31" s="290">
        <v>1</v>
      </c>
      <c r="E31" s="291"/>
      <c r="F31" s="292">
        <f t="shared" si="2"/>
        <v>0</v>
      </c>
      <c r="G31" s="293"/>
      <c r="H31" s="293"/>
      <c r="I31" s="293"/>
      <c r="J31" s="294"/>
      <c r="K31" s="295">
        <f t="shared" si="3"/>
        <v>0</v>
      </c>
      <c r="L31" s="296"/>
      <c r="M31" s="296"/>
      <c r="N31" s="296"/>
      <c r="O31" s="297"/>
      <c r="P31" s="298">
        <f t="shared" si="4"/>
        <v>21.5</v>
      </c>
      <c r="Q31" s="299">
        <v>13.5</v>
      </c>
      <c r="R31" s="299">
        <v>7.5</v>
      </c>
      <c r="S31" s="300">
        <v>0.5</v>
      </c>
    </row>
    <row r="32" spans="1:253">
      <c r="A32" s="249">
        <v>2</v>
      </c>
      <c r="B32" s="256" t="s">
        <v>246</v>
      </c>
      <c r="C32" s="289">
        <f t="shared" si="5"/>
        <v>16</v>
      </c>
      <c r="D32" s="290">
        <v>8</v>
      </c>
      <c r="E32" s="291">
        <v>1</v>
      </c>
      <c r="F32" s="292">
        <f t="shared" si="2"/>
        <v>8</v>
      </c>
      <c r="G32" s="293">
        <v>2</v>
      </c>
      <c r="H32" s="293">
        <v>1</v>
      </c>
      <c r="I32" s="293">
        <v>5</v>
      </c>
      <c r="J32" s="294"/>
      <c r="K32" s="295">
        <f t="shared" si="3"/>
        <v>0</v>
      </c>
      <c r="L32" s="296"/>
      <c r="M32" s="296"/>
      <c r="N32" s="296"/>
      <c r="O32" s="297"/>
      <c r="P32" s="298">
        <f t="shared" si="4"/>
        <v>8</v>
      </c>
      <c r="Q32" s="299">
        <v>2</v>
      </c>
      <c r="R32" s="299">
        <v>2</v>
      </c>
      <c r="S32" s="300">
        <v>4</v>
      </c>
    </row>
    <row r="33" spans="1:253">
      <c r="A33" s="249">
        <v>4</v>
      </c>
      <c r="B33" s="256" t="s">
        <v>122</v>
      </c>
      <c r="C33" s="289">
        <f t="shared" si="5"/>
        <v>3</v>
      </c>
      <c r="D33" s="290"/>
      <c r="E33" s="291">
        <v>1</v>
      </c>
      <c r="F33" s="292">
        <f t="shared" si="2"/>
        <v>0</v>
      </c>
      <c r="G33" s="293"/>
      <c r="H33" s="293"/>
      <c r="I33" s="293"/>
      <c r="J33" s="294"/>
      <c r="K33" s="295">
        <f t="shared" si="3"/>
        <v>0</v>
      </c>
      <c r="L33" s="296"/>
      <c r="M33" s="296"/>
      <c r="N33" s="296"/>
      <c r="O33" s="297"/>
      <c r="P33" s="298">
        <f t="shared" si="4"/>
        <v>3</v>
      </c>
      <c r="Q33" s="299">
        <v>3</v>
      </c>
      <c r="R33" s="299"/>
      <c r="S33" s="300"/>
    </row>
    <row r="34" spans="1:253">
      <c r="A34" s="258">
        <v>5</v>
      </c>
      <c r="B34" s="259" t="s">
        <v>115</v>
      </c>
      <c r="C34" s="289">
        <f t="shared" si="5"/>
        <v>4</v>
      </c>
      <c r="D34" s="290">
        <v>1</v>
      </c>
      <c r="E34" s="291"/>
      <c r="F34" s="292">
        <f t="shared" si="2"/>
        <v>0</v>
      </c>
      <c r="G34" s="293"/>
      <c r="H34" s="293"/>
      <c r="I34" s="293"/>
      <c r="J34" s="294"/>
      <c r="K34" s="295">
        <f t="shared" si="3"/>
        <v>0</v>
      </c>
      <c r="L34" s="296"/>
      <c r="M34" s="296"/>
      <c r="N34" s="296"/>
      <c r="O34" s="297"/>
      <c r="P34" s="298">
        <f t="shared" si="4"/>
        <v>4</v>
      </c>
      <c r="Q34" s="299">
        <v>1</v>
      </c>
      <c r="R34" s="299">
        <v>3</v>
      </c>
      <c r="S34" s="300"/>
    </row>
    <row r="35" spans="1:253">
      <c r="A35" s="260">
        <v>6</v>
      </c>
      <c r="B35" s="259" t="s">
        <v>116</v>
      </c>
      <c r="C35" s="289">
        <f t="shared" si="5"/>
        <v>0</v>
      </c>
      <c r="D35" s="261"/>
      <c r="E35" s="262"/>
      <c r="F35" s="292">
        <f t="shared" si="2"/>
        <v>0</v>
      </c>
      <c r="G35" s="263"/>
      <c r="H35" s="263"/>
      <c r="I35" s="263"/>
      <c r="J35" s="264"/>
      <c r="K35" s="295">
        <f t="shared" si="3"/>
        <v>0</v>
      </c>
      <c r="L35" s="265"/>
      <c r="M35" s="265"/>
      <c r="N35" s="265"/>
      <c r="O35" s="266"/>
      <c r="P35" s="298">
        <f t="shared" si="4"/>
        <v>0</v>
      </c>
      <c r="Q35" s="267"/>
      <c r="R35" s="267"/>
      <c r="S35" s="268"/>
    </row>
    <row r="36" spans="1:253">
      <c r="A36" s="260">
        <v>7</v>
      </c>
      <c r="B36" s="259" t="s">
        <v>123</v>
      </c>
      <c r="C36" s="289">
        <f t="shared" si="5"/>
        <v>8</v>
      </c>
      <c r="D36" s="290"/>
      <c r="E36" s="291"/>
      <c r="F36" s="292">
        <f t="shared" si="2"/>
        <v>0</v>
      </c>
      <c r="G36" s="293"/>
      <c r="H36" s="293"/>
      <c r="I36" s="293"/>
      <c r="J36" s="294"/>
      <c r="K36" s="295">
        <f t="shared" si="3"/>
        <v>0</v>
      </c>
      <c r="L36" s="296"/>
      <c r="M36" s="296"/>
      <c r="N36" s="296"/>
      <c r="O36" s="297"/>
      <c r="P36" s="298">
        <f t="shared" si="4"/>
        <v>8</v>
      </c>
      <c r="Q36" s="299">
        <v>3</v>
      </c>
      <c r="R36" s="299"/>
      <c r="S36" s="300">
        <v>5</v>
      </c>
    </row>
    <row r="37" spans="1:253" ht="20.25">
      <c r="A37" s="251" t="s">
        <v>247</v>
      </c>
      <c r="B37" s="252"/>
      <c r="C37" s="253">
        <f t="shared" ref="C37:S37" si="9">SUBTOTAL(9,C38:C38)</f>
        <v>131</v>
      </c>
      <c r="D37" s="254">
        <f t="shared" si="9"/>
        <v>1</v>
      </c>
      <c r="E37" s="255">
        <f t="shared" si="9"/>
        <v>0</v>
      </c>
      <c r="F37" s="253">
        <f t="shared" si="9"/>
        <v>0</v>
      </c>
      <c r="G37" s="254">
        <f t="shared" si="9"/>
        <v>0</v>
      </c>
      <c r="H37" s="254">
        <f t="shared" si="9"/>
        <v>0</v>
      </c>
      <c r="I37" s="254">
        <f t="shared" si="9"/>
        <v>0</v>
      </c>
      <c r="J37" s="255">
        <f t="shared" si="9"/>
        <v>0</v>
      </c>
      <c r="K37" s="253">
        <f t="shared" si="9"/>
        <v>25</v>
      </c>
      <c r="L37" s="254">
        <f t="shared" si="9"/>
        <v>1</v>
      </c>
      <c r="M37" s="254">
        <f t="shared" si="9"/>
        <v>3</v>
      </c>
      <c r="N37" s="254">
        <f t="shared" si="9"/>
        <v>10</v>
      </c>
      <c r="O37" s="255">
        <f t="shared" si="9"/>
        <v>11</v>
      </c>
      <c r="P37" s="253">
        <f t="shared" si="9"/>
        <v>106</v>
      </c>
      <c r="Q37" s="254">
        <f t="shared" si="9"/>
        <v>15</v>
      </c>
      <c r="R37" s="254">
        <f t="shared" si="9"/>
        <v>91</v>
      </c>
      <c r="S37" s="255">
        <f t="shared" si="9"/>
        <v>0</v>
      </c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</row>
    <row r="38" spans="1:253">
      <c r="A38" s="249">
        <v>1</v>
      </c>
      <c r="B38" s="269" t="s">
        <v>248</v>
      </c>
      <c r="C38" s="289">
        <f t="shared" si="5"/>
        <v>131</v>
      </c>
      <c r="D38" s="290">
        <v>1</v>
      </c>
      <c r="E38" s="291"/>
      <c r="F38" s="292">
        <f t="shared" si="2"/>
        <v>0</v>
      </c>
      <c r="G38" s="293"/>
      <c r="H38" s="293"/>
      <c r="I38" s="293"/>
      <c r="J38" s="294"/>
      <c r="K38" s="295">
        <f t="shared" si="3"/>
        <v>25</v>
      </c>
      <c r="L38" s="296">
        <v>1</v>
      </c>
      <c r="M38" s="296">
        <v>3</v>
      </c>
      <c r="N38" s="296">
        <v>10</v>
      </c>
      <c r="O38" s="297">
        <v>11</v>
      </c>
      <c r="P38" s="298">
        <f t="shared" si="4"/>
        <v>106</v>
      </c>
      <c r="Q38" s="299">
        <v>15</v>
      </c>
      <c r="R38" s="299">
        <v>91</v>
      </c>
      <c r="S38" s="30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  <c r="EI38" s="270"/>
      <c r="EJ38" s="270"/>
      <c r="EK38" s="270"/>
      <c r="EL38" s="270"/>
      <c r="EM38" s="270"/>
      <c r="EN38" s="270"/>
      <c r="EO38" s="270"/>
      <c r="EP38" s="270"/>
      <c r="EQ38" s="270"/>
      <c r="ER38" s="270"/>
      <c r="ES38" s="270"/>
      <c r="ET38" s="270"/>
      <c r="EU38" s="270"/>
      <c r="EV38" s="270"/>
      <c r="EW38" s="270"/>
      <c r="EX38" s="270"/>
      <c r="EY38" s="270"/>
      <c r="EZ38" s="270"/>
      <c r="FA38" s="270"/>
      <c r="FB38" s="270"/>
      <c r="FC38" s="270"/>
      <c r="FD38" s="270"/>
      <c r="FE38" s="270"/>
      <c r="FF38" s="270"/>
      <c r="FG38" s="270"/>
      <c r="FH38" s="270"/>
      <c r="FI38" s="270"/>
      <c r="FJ38" s="270"/>
      <c r="FK38" s="270"/>
      <c r="FL38" s="270"/>
      <c r="FM38" s="270"/>
      <c r="FN38" s="270"/>
      <c r="FO38" s="270"/>
      <c r="FP38" s="270"/>
      <c r="FQ38" s="270"/>
      <c r="FR38" s="270"/>
      <c r="FS38" s="270"/>
      <c r="FT38" s="270"/>
      <c r="FU38" s="270"/>
      <c r="FV38" s="270"/>
      <c r="FW38" s="270"/>
      <c r="FX38" s="270"/>
      <c r="FY38" s="270"/>
      <c r="FZ38" s="270"/>
      <c r="GA38" s="270"/>
      <c r="GB38" s="270"/>
      <c r="GC38" s="270"/>
      <c r="GD38" s="270"/>
      <c r="GE38" s="270"/>
      <c r="GF38" s="270"/>
      <c r="GG38" s="270"/>
      <c r="GH38" s="270"/>
      <c r="GI38" s="270"/>
      <c r="GJ38" s="270"/>
      <c r="GK38" s="270"/>
      <c r="GL38" s="270"/>
      <c r="GM38" s="270"/>
      <c r="GN38" s="270"/>
      <c r="GO38" s="270"/>
      <c r="GP38" s="270"/>
      <c r="GQ38" s="270"/>
      <c r="GR38" s="270"/>
      <c r="GS38" s="270"/>
      <c r="GT38" s="270"/>
      <c r="GU38" s="270"/>
      <c r="GV38" s="270"/>
      <c r="GW38" s="270"/>
      <c r="GX38" s="270"/>
      <c r="GY38" s="270"/>
      <c r="GZ38" s="270"/>
      <c r="HA38" s="270"/>
      <c r="HB38" s="270"/>
      <c r="HC38" s="270"/>
      <c r="HD38" s="270"/>
      <c r="HE38" s="270"/>
      <c r="HF38" s="270"/>
      <c r="HG38" s="270"/>
      <c r="HH38" s="270"/>
      <c r="HI38" s="270"/>
      <c r="HJ38" s="270"/>
      <c r="HK38" s="270"/>
      <c r="HL38" s="270"/>
      <c r="HM38" s="270"/>
      <c r="HN38" s="270"/>
      <c r="HO38" s="270"/>
      <c r="HP38" s="270"/>
      <c r="HQ38" s="270"/>
      <c r="HR38" s="270"/>
      <c r="HS38" s="270"/>
      <c r="HT38" s="270"/>
      <c r="HU38" s="270"/>
      <c r="HV38" s="270"/>
      <c r="HW38" s="270"/>
      <c r="HX38" s="270"/>
      <c r="HY38" s="270"/>
      <c r="HZ38" s="270"/>
      <c r="IA38" s="270"/>
      <c r="IB38" s="270"/>
      <c r="IC38" s="270"/>
      <c r="ID38" s="270"/>
      <c r="IE38" s="270"/>
      <c r="IF38" s="270"/>
      <c r="IG38" s="270"/>
      <c r="IH38" s="270"/>
      <c r="II38" s="270"/>
      <c r="IJ38" s="270"/>
      <c r="IK38" s="270"/>
      <c r="IL38" s="270"/>
      <c r="IM38" s="270"/>
      <c r="IN38" s="270"/>
      <c r="IO38" s="270"/>
      <c r="IP38" s="270"/>
      <c r="IQ38" s="270"/>
      <c r="IR38" s="270"/>
      <c r="IS38" s="270"/>
    </row>
    <row r="39" spans="1:253">
      <c r="A39" s="271">
        <v>2</v>
      </c>
      <c r="B39" s="272" t="s">
        <v>249</v>
      </c>
      <c r="C39" s="289">
        <f t="shared" si="5"/>
        <v>3</v>
      </c>
      <c r="D39" s="290"/>
      <c r="E39" s="291"/>
      <c r="F39" s="292"/>
      <c r="G39" s="293"/>
      <c r="H39" s="293"/>
      <c r="I39" s="293"/>
      <c r="J39" s="294"/>
      <c r="K39" s="295">
        <f t="shared" si="3"/>
        <v>0</v>
      </c>
      <c r="L39" s="296"/>
      <c r="M39" s="296"/>
      <c r="N39" s="296"/>
      <c r="O39" s="297"/>
      <c r="P39" s="298">
        <f t="shared" si="4"/>
        <v>3</v>
      </c>
      <c r="Q39" s="299"/>
      <c r="R39" s="299">
        <v>3</v>
      </c>
      <c r="S39" s="30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  <c r="EC39" s="270"/>
      <c r="ED39" s="270"/>
      <c r="EE39" s="270"/>
      <c r="EF39" s="270"/>
      <c r="EG39" s="270"/>
      <c r="EH39" s="270"/>
      <c r="EI39" s="270"/>
      <c r="EJ39" s="270"/>
      <c r="EK39" s="270"/>
      <c r="EL39" s="270"/>
      <c r="EM39" s="270"/>
      <c r="EN39" s="270"/>
      <c r="EO39" s="270"/>
      <c r="EP39" s="270"/>
      <c r="EQ39" s="270"/>
      <c r="ER39" s="270"/>
      <c r="ES39" s="270"/>
      <c r="ET39" s="270"/>
      <c r="EU39" s="270"/>
      <c r="EV39" s="270"/>
      <c r="EW39" s="270"/>
      <c r="EX39" s="270"/>
      <c r="EY39" s="270"/>
      <c r="EZ39" s="270"/>
      <c r="FA39" s="270"/>
      <c r="FB39" s="270"/>
      <c r="FC39" s="270"/>
      <c r="FD39" s="270"/>
      <c r="FE39" s="270"/>
      <c r="FF39" s="270"/>
      <c r="FG39" s="270"/>
      <c r="FH39" s="270"/>
      <c r="FI39" s="270"/>
      <c r="FJ39" s="270"/>
      <c r="FK39" s="270"/>
      <c r="FL39" s="270"/>
      <c r="FM39" s="270"/>
      <c r="FN39" s="270"/>
      <c r="FO39" s="270"/>
      <c r="FP39" s="270"/>
      <c r="FQ39" s="270"/>
      <c r="FR39" s="270"/>
      <c r="FS39" s="270"/>
      <c r="FT39" s="270"/>
      <c r="FU39" s="270"/>
      <c r="FV39" s="270"/>
      <c r="FW39" s="270"/>
      <c r="FX39" s="270"/>
      <c r="FY39" s="270"/>
      <c r="FZ39" s="270"/>
      <c r="GA39" s="270"/>
      <c r="GB39" s="270"/>
      <c r="GC39" s="270"/>
      <c r="GD39" s="270"/>
      <c r="GE39" s="270"/>
      <c r="GF39" s="270"/>
      <c r="GG39" s="270"/>
      <c r="GH39" s="270"/>
      <c r="GI39" s="270"/>
      <c r="GJ39" s="270"/>
      <c r="GK39" s="270"/>
      <c r="GL39" s="270"/>
      <c r="GM39" s="270"/>
      <c r="GN39" s="270"/>
      <c r="GO39" s="270"/>
      <c r="GP39" s="270"/>
      <c r="GQ39" s="270"/>
      <c r="GR39" s="270"/>
      <c r="GS39" s="270"/>
      <c r="GT39" s="270"/>
      <c r="GU39" s="270"/>
      <c r="GV39" s="270"/>
      <c r="GW39" s="270"/>
      <c r="GX39" s="270"/>
      <c r="GY39" s="270"/>
      <c r="GZ39" s="270"/>
      <c r="HA39" s="270"/>
      <c r="HB39" s="270"/>
      <c r="HC39" s="270"/>
      <c r="HD39" s="270"/>
      <c r="HE39" s="270"/>
      <c r="HF39" s="270"/>
      <c r="HG39" s="270"/>
      <c r="HH39" s="270"/>
      <c r="HI39" s="270"/>
      <c r="HJ39" s="270"/>
      <c r="HK39" s="270"/>
      <c r="HL39" s="270"/>
      <c r="HM39" s="270"/>
      <c r="HN39" s="270"/>
      <c r="HO39" s="270"/>
      <c r="HP39" s="270"/>
      <c r="HQ39" s="270"/>
      <c r="HR39" s="270"/>
      <c r="HS39" s="270"/>
      <c r="HT39" s="270"/>
      <c r="HU39" s="270"/>
      <c r="HV39" s="270"/>
      <c r="HW39" s="270"/>
      <c r="HX39" s="270"/>
      <c r="HY39" s="270"/>
      <c r="HZ39" s="270"/>
      <c r="IA39" s="270"/>
      <c r="IB39" s="270"/>
      <c r="IC39" s="270"/>
      <c r="ID39" s="270"/>
      <c r="IE39" s="270"/>
      <c r="IF39" s="270"/>
      <c r="IG39" s="270"/>
      <c r="IH39" s="270"/>
      <c r="II39" s="270"/>
      <c r="IJ39" s="270"/>
      <c r="IK39" s="270"/>
      <c r="IL39" s="270"/>
      <c r="IM39" s="270"/>
      <c r="IN39" s="270"/>
      <c r="IO39" s="270"/>
      <c r="IP39" s="270"/>
      <c r="IQ39" s="270"/>
      <c r="IR39" s="270"/>
      <c r="IS39" s="270"/>
    </row>
    <row r="40" spans="1:253" ht="20.25">
      <c r="A40" s="251" t="s">
        <v>250</v>
      </c>
      <c r="B40" s="252"/>
      <c r="C40" s="253">
        <f>SUBTOTAL(9,C41:C45)</f>
        <v>14</v>
      </c>
      <c r="D40" s="254">
        <f t="shared" ref="D40:S40" si="10">SUBTOTAL(9,D41:D45)</f>
        <v>4</v>
      </c>
      <c r="E40" s="255">
        <f t="shared" si="10"/>
        <v>0</v>
      </c>
      <c r="F40" s="253">
        <f t="shared" si="10"/>
        <v>0</v>
      </c>
      <c r="G40" s="254">
        <f t="shared" si="10"/>
        <v>0</v>
      </c>
      <c r="H40" s="254">
        <f t="shared" si="10"/>
        <v>0</v>
      </c>
      <c r="I40" s="254">
        <f t="shared" si="10"/>
        <v>0</v>
      </c>
      <c r="J40" s="255">
        <f t="shared" si="10"/>
        <v>0</v>
      </c>
      <c r="K40" s="253">
        <f t="shared" si="10"/>
        <v>0</v>
      </c>
      <c r="L40" s="254">
        <f t="shared" si="10"/>
        <v>0</v>
      </c>
      <c r="M40" s="254">
        <f t="shared" si="10"/>
        <v>0</v>
      </c>
      <c r="N40" s="254">
        <f t="shared" si="10"/>
        <v>0</v>
      </c>
      <c r="O40" s="255">
        <f t="shared" si="10"/>
        <v>0</v>
      </c>
      <c r="P40" s="253">
        <f t="shared" si="10"/>
        <v>14</v>
      </c>
      <c r="Q40" s="254">
        <f t="shared" si="10"/>
        <v>7.5</v>
      </c>
      <c r="R40" s="254">
        <f t="shared" si="10"/>
        <v>6</v>
      </c>
      <c r="S40" s="255">
        <f t="shared" si="10"/>
        <v>0.5</v>
      </c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</row>
    <row r="41" spans="1:253">
      <c r="A41" s="249">
        <v>1</v>
      </c>
      <c r="B41" s="256" t="s">
        <v>108</v>
      </c>
      <c r="C41" s="289">
        <f t="shared" si="5"/>
        <v>4</v>
      </c>
      <c r="D41" s="290"/>
      <c r="E41" s="291"/>
      <c r="F41" s="292">
        <f t="shared" si="2"/>
        <v>0</v>
      </c>
      <c r="G41" s="293"/>
      <c r="H41" s="293"/>
      <c r="I41" s="293"/>
      <c r="J41" s="294"/>
      <c r="K41" s="295">
        <f t="shared" si="3"/>
        <v>0</v>
      </c>
      <c r="L41" s="296"/>
      <c r="M41" s="296"/>
      <c r="N41" s="296"/>
      <c r="O41" s="297"/>
      <c r="P41" s="298">
        <f t="shared" si="4"/>
        <v>4</v>
      </c>
      <c r="Q41" s="299">
        <v>2</v>
      </c>
      <c r="R41" s="299">
        <v>2</v>
      </c>
      <c r="S41" s="300"/>
    </row>
    <row r="42" spans="1:253">
      <c r="A42" s="249">
        <v>2</v>
      </c>
      <c r="B42" s="256" t="s">
        <v>109</v>
      </c>
      <c r="C42" s="289">
        <f t="shared" si="5"/>
        <v>5</v>
      </c>
      <c r="D42" s="290">
        <v>0.5</v>
      </c>
      <c r="E42" s="291"/>
      <c r="F42" s="292">
        <f t="shared" si="2"/>
        <v>0</v>
      </c>
      <c r="G42" s="293"/>
      <c r="H42" s="293"/>
      <c r="I42" s="293"/>
      <c r="J42" s="294"/>
      <c r="K42" s="295">
        <f t="shared" si="3"/>
        <v>0</v>
      </c>
      <c r="L42" s="296"/>
      <c r="M42" s="296"/>
      <c r="N42" s="296"/>
      <c r="O42" s="297"/>
      <c r="P42" s="298">
        <f t="shared" si="4"/>
        <v>5</v>
      </c>
      <c r="Q42" s="299">
        <v>3</v>
      </c>
      <c r="R42" s="299">
        <v>2</v>
      </c>
      <c r="S42" s="300"/>
    </row>
    <row r="43" spans="1:253">
      <c r="A43" s="249">
        <v>3</v>
      </c>
      <c r="B43" s="257" t="s">
        <v>110</v>
      </c>
      <c r="C43" s="289">
        <f t="shared" si="5"/>
        <v>2.5</v>
      </c>
      <c r="D43" s="290">
        <v>1.5</v>
      </c>
      <c r="E43" s="291"/>
      <c r="F43" s="292">
        <f t="shared" si="2"/>
        <v>0</v>
      </c>
      <c r="G43" s="293"/>
      <c r="H43" s="293"/>
      <c r="I43" s="293"/>
      <c r="J43" s="294"/>
      <c r="K43" s="295">
        <f t="shared" si="3"/>
        <v>0</v>
      </c>
      <c r="L43" s="296"/>
      <c r="M43" s="296"/>
      <c r="N43" s="296"/>
      <c r="O43" s="297"/>
      <c r="P43" s="298">
        <f t="shared" si="4"/>
        <v>2.5</v>
      </c>
      <c r="Q43" s="299">
        <v>2.5</v>
      </c>
      <c r="R43" s="299"/>
      <c r="S43" s="300"/>
    </row>
    <row r="44" spans="1:253">
      <c r="A44" s="249">
        <v>4</v>
      </c>
      <c r="B44" s="257" t="s">
        <v>111</v>
      </c>
      <c r="C44" s="289">
        <f t="shared" si="5"/>
        <v>1</v>
      </c>
      <c r="D44" s="290">
        <v>1</v>
      </c>
      <c r="E44" s="291"/>
      <c r="F44" s="292">
        <f t="shared" si="2"/>
        <v>0</v>
      </c>
      <c r="G44" s="293"/>
      <c r="H44" s="293"/>
      <c r="I44" s="293"/>
      <c r="J44" s="294"/>
      <c r="K44" s="295">
        <f t="shared" si="3"/>
        <v>0</v>
      </c>
      <c r="L44" s="296"/>
      <c r="M44" s="296"/>
      <c r="N44" s="296"/>
      <c r="O44" s="297"/>
      <c r="P44" s="298">
        <f t="shared" si="4"/>
        <v>1</v>
      </c>
      <c r="Q44" s="299"/>
      <c r="R44" s="299">
        <v>1</v>
      </c>
      <c r="S44" s="300"/>
    </row>
    <row r="45" spans="1:253">
      <c r="A45" s="249">
        <v>5</v>
      </c>
      <c r="B45" s="257" t="s">
        <v>112</v>
      </c>
      <c r="C45" s="289">
        <f t="shared" si="5"/>
        <v>1.5</v>
      </c>
      <c r="D45" s="290">
        <v>1</v>
      </c>
      <c r="E45" s="291"/>
      <c r="F45" s="292">
        <f t="shared" si="2"/>
        <v>0</v>
      </c>
      <c r="G45" s="293"/>
      <c r="H45" s="293"/>
      <c r="I45" s="293"/>
      <c r="J45" s="294"/>
      <c r="K45" s="295">
        <f t="shared" si="3"/>
        <v>0</v>
      </c>
      <c r="L45" s="296"/>
      <c r="M45" s="296"/>
      <c r="N45" s="296"/>
      <c r="O45" s="297"/>
      <c r="P45" s="298">
        <f t="shared" si="4"/>
        <v>1.5</v>
      </c>
      <c r="Q45" s="299"/>
      <c r="R45" s="299">
        <v>1</v>
      </c>
      <c r="S45" s="300">
        <v>0.5</v>
      </c>
    </row>
    <row r="46" spans="1:253" ht="20.25">
      <c r="A46" s="251" t="s">
        <v>251</v>
      </c>
      <c r="B46" s="252"/>
      <c r="C46" s="253">
        <f t="shared" ref="C46:S46" si="11">SUBTOTAL(9,C47:C51)</f>
        <v>25</v>
      </c>
      <c r="D46" s="254">
        <f t="shared" si="11"/>
        <v>0</v>
      </c>
      <c r="E46" s="255">
        <f t="shared" si="11"/>
        <v>0</v>
      </c>
      <c r="F46" s="253">
        <f t="shared" si="11"/>
        <v>0</v>
      </c>
      <c r="G46" s="254">
        <f t="shared" si="11"/>
        <v>0</v>
      </c>
      <c r="H46" s="254">
        <f t="shared" si="11"/>
        <v>0</v>
      </c>
      <c r="I46" s="254">
        <f t="shared" si="11"/>
        <v>0</v>
      </c>
      <c r="J46" s="255">
        <f t="shared" si="11"/>
        <v>0</v>
      </c>
      <c r="K46" s="253">
        <f t="shared" si="11"/>
        <v>0</v>
      </c>
      <c r="L46" s="254">
        <f t="shared" si="11"/>
        <v>0</v>
      </c>
      <c r="M46" s="254">
        <f t="shared" si="11"/>
        <v>0</v>
      </c>
      <c r="N46" s="254">
        <f t="shared" si="11"/>
        <v>0</v>
      </c>
      <c r="O46" s="255">
        <f t="shared" si="11"/>
        <v>0</v>
      </c>
      <c r="P46" s="253">
        <f t="shared" si="11"/>
        <v>25</v>
      </c>
      <c r="Q46" s="254">
        <f t="shared" si="11"/>
        <v>2</v>
      </c>
      <c r="R46" s="254">
        <f t="shared" si="11"/>
        <v>0</v>
      </c>
      <c r="S46" s="255">
        <f t="shared" si="11"/>
        <v>23</v>
      </c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</row>
    <row r="47" spans="1:253">
      <c r="A47" s="249">
        <v>1</v>
      </c>
      <c r="B47" s="257" t="s">
        <v>117</v>
      </c>
      <c r="C47" s="289">
        <f t="shared" si="5"/>
        <v>11</v>
      </c>
      <c r="D47" s="290"/>
      <c r="E47" s="291"/>
      <c r="F47" s="292">
        <f t="shared" si="2"/>
        <v>0</v>
      </c>
      <c r="G47" s="293"/>
      <c r="H47" s="293"/>
      <c r="I47" s="293"/>
      <c r="J47" s="294"/>
      <c r="K47" s="295">
        <f t="shared" si="3"/>
        <v>0</v>
      </c>
      <c r="L47" s="296"/>
      <c r="M47" s="296"/>
      <c r="N47" s="296"/>
      <c r="O47" s="297"/>
      <c r="P47" s="298">
        <f t="shared" si="4"/>
        <v>11</v>
      </c>
      <c r="Q47" s="299">
        <v>1</v>
      </c>
      <c r="R47" s="299"/>
      <c r="S47" s="300">
        <v>10</v>
      </c>
    </row>
    <row r="48" spans="1:253">
      <c r="A48" s="249">
        <v>2</v>
      </c>
      <c r="B48" s="257" t="s">
        <v>118</v>
      </c>
      <c r="C48" s="289">
        <f t="shared" si="5"/>
        <v>5</v>
      </c>
      <c r="D48" s="290"/>
      <c r="E48" s="291"/>
      <c r="F48" s="292">
        <f t="shared" si="2"/>
        <v>0</v>
      </c>
      <c r="G48" s="293"/>
      <c r="H48" s="293"/>
      <c r="I48" s="293"/>
      <c r="J48" s="294"/>
      <c r="K48" s="295">
        <f t="shared" si="3"/>
        <v>0</v>
      </c>
      <c r="L48" s="296"/>
      <c r="M48" s="296"/>
      <c r="N48" s="296"/>
      <c r="O48" s="297"/>
      <c r="P48" s="298">
        <f t="shared" si="4"/>
        <v>5</v>
      </c>
      <c r="Q48" s="299"/>
      <c r="R48" s="299"/>
      <c r="S48" s="300">
        <v>5</v>
      </c>
    </row>
    <row r="49" spans="1:253">
      <c r="A49" s="249">
        <v>3</v>
      </c>
      <c r="B49" s="257" t="s">
        <v>119</v>
      </c>
      <c r="C49" s="289">
        <f t="shared" si="5"/>
        <v>4</v>
      </c>
      <c r="D49" s="290"/>
      <c r="E49" s="291"/>
      <c r="F49" s="292">
        <f t="shared" si="2"/>
        <v>0</v>
      </c>
      <c r="G49" s="293"/>
      <c r="H49" s="293"/>
      <c r="I49" s="293"/>
      <c r="J49" s="294"/>
      <c r="K49" s="295">
        <f t="shared" si="3"/>
        <v>0</v>
      </c>
      <c r="L49" s="296"/>
      <c r="M49" s="296"/>
      <c r="N49" s="296"/>
      <c r="O49" s="297"/>
      <c r="P49" s="298">
        <f t="shared" si="4"/>
        <v>4</v>
      </c>
      <c r="Q49" s="299"/>
      <c r="R49" s="299"/>
      <c r="S49" s="300">
        <v>4</v>
      </c>
    </row>
    <row r="50" spans="1:253">
      <c r="A50" s="249">
        <v>4</v>
      </c>
      <c r="B50" s="257" t="s">
        <v>120</v>
      </c>
      <c r="C50" s="289">
        <f t="shared" si="5"/>
        <v>0</v>
      </c>
      <c r="D50" s="261"/>
      <c r="E50" s="262"/>
      <c r="F50" s="292">
        <f t="shared" si="2"/>
        <v>0</v>
      </c>
      <c r="G50" s="263"/>
      <c r="H50" s="263"/>
      <c r="I50" s="263"/>
      <c r="J50" s="264"/>
      <c r="K50" s="295">
        <f t="shared" si="3"/>
        <v>0</v>
      </c>
      <c r="L50" s="265"/>
      <c r="M50" s="265"/>
      <c r="N50" s="265"/>
      <c r="O50" s="266"/>
      <c r="P50" s="298">
        <f t="shared" si="4"/>
        <v>0</v>
      </c>
      <c r="Q50" s="267"/>
      <c r="R50" s="267"/>
      <c r="S50" s="268"/>
    </row>
    <row r="51" spans="1:253">
      <c r="A51" s="258">
        <v>5</v>
      </c>
      <c r="B51" s="273" t="s">
        <v>252</v>
      </c>
      <c r="C51" s="289">
        <f t="shared" si="5"/>
        <v>5</v>
      </c>
      <c r="D51" s="290"/>
      <c r="E51" s="291"/>
      <c r="F51" s="292">
        <f t="shared" si="2"/>
        <v>0</v>
      </c>
      <c r="G51" s="293"/>
      <c r="H51" s="293"/>
      <c r="I51" s="293"/>
      <c r="J51" s="294"/>
      <c r="K51" s="295">
        <f t="shared" si="3"/>
        <v>0</v>
      </c>
      <c r="L51" s="296"/>
      <c r="M51" s="296"/>
      <c r="N51" s="296"/>
      <c r="O51" s="297"/>
      <c r="P51" s="298">
        <f t="shared" si="4"/>
        <v>5</v>
      </c>
      <c r="Q51" s="299">
        <v>1</v>
      </c>
      <c r="R51" s="299"/>
      <c r="S51" s="300">
        <v>4</v>
      </c>
    </row>
    <row r="52" spans="1:253" ht="20.25">
      <c r="A52" s="251" t="s">
        <v>253</v>
      </c>
      <c r="B52" s="252"/>
      <c r="C52" s="253">
        <f t="shared" ref="C52:S52" si="12">SUBTOTAL(9,C53:C57)</f>
        <v>556.5</v>
      </c>
      <c r="D52" s="254">
        <f t="shared" si="12"/>
        <v>14</v>
      </c>
      <c r="E52" s="255">
        <f t="shared" si="12"/>
        <v>2</v>
      </c>
      <c r="F52" s="253">
        <f t="shared" si="12"/>
        <v>7</v>
      </c>
      <c r="G52" s="254">
        <f t="shared" si="12"/>
        <v>4</v>
      </c>
      <c r="H52" s="254">
        <f t="shared" si="12"/>
        <v>3</v>
      </c>
      <c r="I52" s="254">
        <f t="shared" si="12"/>
        <v>0</v>
      </c>
      <c r="J52" s="255">
        <f t="shared" si="12"/>
        <v>0</v>
      </c>
      <c r="K52" s="253">
        <f t="shared" si="12"/>
        <v>1</v>
      </c>
      <c r="L52" s="254">
        <f t="shared" si="12"/>
        <v>0</v>
      </c>
      <c r="M52" s="254">
        <f t="shared" si="12"/>
        <v>0</v>
      </c>
      <c r="N52" s="254">
        <f t="shared" si="12"/>
        <v>1</v>
      </c>
      <c r="O52" s="255">
        <f t="shared" si="12"/>
        <v>0</v>
      </c>
      <c r="P52" s="253">
        <f t="shared" si="12"/>
        <v>548.5</v>
      </c>
      <c r="Q52" s="254">
        <f t="shared" si="12"/>
        <v>140</v>
      </c>
      <c r="R52" s="254">
        <f t="shared" si="12"/>
        <v>89</v>
      </c>
      <c r="S52" s="255">
        <f t="shared" si="12"/>
        <v>319.5</v>
      </c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  <c r="GQ52" s="246"/>
      <c r="GR52" s="246"/>
      <c r="GS52" s="246"/>
      <c r="GT52" s="246"/>
      <c r="GU52" s="246"/>
      <c r="GV52" s="246"/>
      <c r="GW52" s="246"/>
      <c r="GX52" s="246"/>
      <c r="GY52" s="246"/>
      <c r="GZ52" s="246"/>
      <c r="HA52" s="246"/>
      <c r="HB52" s="246"/>
      <c r="HC52" s="246"/>
      <c r="HD52" s="246"/>
      <c r="HE52" s="246"/>
      <c r="HF52" s="246"/>
      <c r="HG52" s="246"/>
      <c r="HH52" s="246"/>
      <c r="HI52" s="246"/>
      <c r="HJ52" s="246"/>
      <c r="HK52" s="246"/>
      <c r="HL52" s="246"/>
      <c r="HM52" s="246"/>
      <c r="HN52" s="246"/>
      <c r="HO52" s="246"/>
      <c r="HP52" s="246"/>
      <c r="HQ52" s="246"/>
      <c r="HR52" s="246"/>
      <c r="HS52" s="246"/>
      <c r="HT52" s="246"/>
      <c r="HU52" s="246"/>
      <c r="HV52" s="246"/>
      <c r="HW52" s="246"/>
      <c r="HX52" s="246"/>
      <c r="HY52" s="246"/>
      <c r="HZ52" s="246"/>
      <c r="IA52" s="246"/>
      <c r="IB52" s="246"/>
      <c r="IC52" s="246"/>
      <c r="ID52" s="246"/>
      <c r="IE52" s="246"/>
      <c r="IF52" s="246"/>
      <c r="IG52" s="246"/>
      <c r="IH52" s="246"/>
      <c r="II52" s="246"/>
      <c r="IJ52" s="246"/>
      <c r="IK52" s="246"/>
      <c r="IL52" s="246"/>
      <c r="IM52" s="246"/>
      <c r="IN52" s="246"/>
      <c r="IO52" s="246"/>
      <c r="IP52" s="246"/>
      <c r="IQ52" s="246"/>
      <c r="IR52" s="246"/>
      <c r="IS52" s="246"/>
    </row>
    <row r="53" spans="1:253">
      <c r="A53" s="249">
        <v>1</v>
      </c>
      <c r="B53" s="257" t="s">
        <v>254</v>
      </c>
      <c r="C53" s="289">
        <f t="shared" si="5"/>
        <v>138</v>
      </c>
      <c r="D53" s="290">
        <v>9</v>
      </c>
      <c r="E53" s="291">
        <v>2</v>
      </c>
      <c r="F53" s="292">
        <f t="shared" si="2"/>
        <v>7</v>
      </c>
      <c r="G53" s="293">
        <v>4</v>
      </c>
      <c r="H53" s="293">
        <v>3</v>
      </c>
      <c r="I53" s="293"/>
      <c r="J53" s="294"/>
      <c r="K53" s="295">
        <f t="shared" si="3"/>
        <v>1</v>
      </c>
      <c r="L53" s="296"/>
      <c r="M53" s="296"/>
      <c r="N53" s="296">
        <v>1</v>
      </c>
      <c r="O53" s="297"/>
      <c r="P53" s="298">
        <f t="shared" si="4"/>
        <v>130</v>
      </c>
      <c r="Q53" s="299">
        <v>100</v>
      </c>
      <c r="R53" s="299"/>
      <c r="S53" s="300">
        <v>30</v>
      </c>
    </row>
    <row r="54" spans="1:253">
      <c r="A54" s="249">
        <v>2</v>
      </c>
      <c r="B54" s="256" t="s">
        <v>203</v>
      </c>
      <c r="C54" s="289">
        <f t="shared" si="5"/>
        <v>40</v>
      </c>
      <c r="D54" s="261"/>
      <c r="E54" s="262"/>
      <c r="F54" s="292">
        <f t="shared" si="2"/>
        <v>0</v>
      </c>
      <c r="G54" s="263"/>
      <c r="H54" s="263"/>
      <c r="I54" s="263"/>
      <c r="J54" s="264"/>
      <c r="K54" s="295">
        <f t="shared" si="3"/>
        <v>0</v>
      </c>
      <c r="L54" s="265"/>
      <c r="M54" s="265"/>
      <c r="N54" s="265"/>
      <c r="O54" s="266"/>
      <c r="P54" s="298">
        <f t="shared" si="4"/>
        <v>40</v>
      </c>
      <c r="Q54" s="267">
        <v>10</v>
      </c>
      <c r="R54" s="267"/>
      <c r="S54" s="268">
        <v>30</v>
      </c>
    </row>
    <row r="55" spans="1:253">
      <c r="A55" s="249">
        <v>3</v>
      </c>
      <c r="B55" s="256" t="s">
        <v>124</v>
      </c>
      <c r="C55" s="289">
        <f t="shared" si="5"/>
        <v>180</v>
      </c>
      <c r="D55" s="290"/>
      <c r="E55" s="291"/>
      <c r="F55" s="292">
        <f t="shared" si="2"/>
        <v>0</v>
      </c>
      <c r="G55" s="293"/>
      <c r="H55" s="293"/>
      <c r="I55" s="293"/>
      <c r="J55" s="294"/>
      <c r="K55" s="295">
        <f t="shared" si="3"/>
        <v>0</v>
      </c>
      <c r="L55" s="296"/>
      <c r="M55" s="296"/>
      <c r="N55" s="296"/>
      <c r="O55" s="297"/>
      <c r="P55" s="298">
        <f t="shared" si="4"/>
        <v>180</v>
      </c>
      <c r="Q55" s="299">
        <v>15</v>
      </c>
      <c r="R55" s="299"/>
      <c r="S55" s="300">
        <v>165</v>
      </c>
    </row>
    <row r="56" spans="1:253">
      <c r="A56" s="249">
        <v>4</v>
      </c>
      <c r="B56" s="257" t="s">
        <v>155</v>
      </c>
      <c r="C56" s="289">
        <f t="shared" si="5"/>
        <v>95</v>
      </c>
      <c r="D56" s="290">
        <v>4</v>
      </c>
      <c r="E56" s="291"/>
      <c r="F56" s="292">
        <f t="shared" si="2"/>
        <v>0</v>
      </c>
      <c r="G56" s="293"/>
      <c r="H56" s="293"/>
      <c r="I56" s="293"/>
      <c r="J56" s="294"/>
      <c r="K56" s="295">
        <f t="shared" si="3"/>
        <v>0</v>
      </c>
      <c r="L56" s="296"/>
      <c r="M56" s="296"/>
      <c r="N56" s="296"/>
      <c r="O56" s="297"/>
      <c r="P56" s="298">
        <f t="shared" si="4"/>
        <v>95</v>
      </c>
      <c r="Q56" s="299">
        <v>11</v>
      </c>
      <c r="R56" s="299">
        <v>74</v>
      </c>
      <c r="S56" s="300">
        <v>10</v>
      </c>
    </row>
    <row r="57" spans="1:253" ht="19.5" thickBot="1">
      <c r="A57" s="274">
        <v>5</v>
      </c>
      <c r="B57" s="275" t="s">
        <v>125</v>
      </c>
      <c r="C57" s="289">
        <f t="shared" si="5"/>
        <v>103.5</v>
      </c>
      <c r="D57" s="313">
        <v>1</v>
      </c>
      <c r="E57" s="314"/>
      <c r="F57" s="292">
        <f t="shared" si="2"/>
        <v>0</v>
      </c>
      <c r="G57" s="315"/>
      <c r="H57" s="315"/>
      <c r="I57" s="315"/>
      <c r="J57" s="316"/>
      <c r="K57" s="295">
        <f t="shared" si="3"/>
        <v>0</v>
      </c>
      <c r="L57" s="317"/>
      <c r="M57" s="317"/>
      <c r="N57" s="317"/>
      <c r="O57" s="318"/>
      <c r="P57" s="298">
        <f t="shared" si="4"/>
        <v>103.5</v>
      </c>
      <c r="Q57" s="319">
        <v>4</v>
      </c>
      <c r="R57" s="319">
        <v>15</v>
      </c>
      <c r="S57" s="320">
        <v>84.5</v>
      </c>
    </row>
    <row r="58" spans="1:253">
      <c r="C58" s="276"/>
      <c r="P58" s="276"/>
    </row>
  </sheetData>
  <mergeCells count="3">
    <mergeCell ref="A1:S1"/>
    <mergeCell ref="A2:S2"/>
    <mergeCell ref="A3:S3"/>
  </mergeCells>
  <pageMargins left="0.7" right="0.7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</vt:lpstr>
      <vt:lpstr>общи показатели 2021</vt:lpstr>
      <vt:lpstr>щат</vt:lpstr>
      <vt:lpstr>'2021'!Print_Titles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</dc:creator>
  <cp:lastModifiedBy>Petrovae</cp:lastModifiedBy>
  <cp:lastPrinted>2021-05-13T11:37:49Z</cp:lastPrinted>
  <dcterms:created xsi:type="dcterms:W3CDTF">2018-03-03T14:05:54Z</dcterms:created>
  <dcterms:modified xsi:type="dcterms:W3CDTF">2021-05-13T11:47:20Z</dcterms:modified>
</cp:coreProperties>
</file>